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laire\Desktop\IMAGE SITE\"/>
    </mc:Choice>
  </mc:AlternateContent>
  <workbookProtection workbookPassword="E66D" lockStructure="1"/>
  <bookViews>
    <workbookView xWindow="0" yWindow="0" windowWidth="23040" windowHeight="8808" tabRatio="609" activeTab="5"/>
  </bookViews>
  <sheets>
    <sheet name="Accueil" sheetId="15" r:id="rId1"/>
    <sheet name="Saisie maison" sheetId="4" r:id="rId2"/>
    <sheet name="Résultat maison" sheetId="5" r:id="rId3"/>
    <sheet name="élts calculs lgt ind" sheetId="9" state="hidden" r:id="rId4"/>
    <sheet name="Saisie immeuble" sheetId="1" r:id="rId5"/>
    <sheet name="Résultat immeuble" sheetId="6" r:id="rId6"/>
    <sheet name="Feuil1" sheetId="12" state="hidden" r:id="rId7"/>
    <sheet name="Cheque Energie" sheetId="19" state="hidden" r:id="rId8"/>
    <sheet name="Ressources" sheetId="20" state="hidden" r:id="rId9"/>
    <sheet name="Référence&amp;tarifs" sheetId="3" state="hidden" r:id="rId10"/>
    <sheet name="FAQ Excel" sheetId="21" state="hidden" r:id="rId11"/>
  </sheets>
  <definedNames>
    <definedName name="annee">Feuil1!$C$5:$C$6</definedName>
    <definedName name="cuisson">'élts calculs lgt ind'!$AC$40:$AC$42</definedName>
    <definedName name="cuisson2">Feuil1!$B$71:$B$72</definedName>
    <definedName name="mitoyennete">'élts calculs lgt ind'!$AC$32:$AC$34</definedName>
    <definedName name="naturerevenu">'élts calculs lgt ind'!$AI$23:$AI$27</definedName>
    <definedName name="oui">Feuil1!$B$75:$B$76</definedName>
    <definedName name="position">Feuil1!$D$73:$D$75</definedName>
    <definedName name="typechauffage">'élts calculs lgt ind'!$AN$37:$AN$54</definedName>
    <definedName name="typedelogement">'élts calculs lgt ind'!$AC$29:$AC$30</definedName>
    <definedName name="typeecs">'élts calculs lgt ind'!$AX$21:$AX$34</definedName>
    <definedName name="typeiso">'élts calculs lgt ind'!$AC$23:$AC$24</definedName>
    <definedName name="typereno">'élts calculs lgt ind'!$AC$26:$AC$27</definedName>
    <definedName name="ventilation">'élts calculs lgt ind'!$AC$36:$AC$38</definedName>
    <definedName name="VILLE">'élts calculs lgt ind'!$A$6:$A$67</definedName>
    <definedName name="_xlnm.Print_Area" localSheetId="0">Accueil!$A$1:$R$38</definedName>
    <definedName name="_xlnm.Print_Area" localSheetId="5">'Résultat immeuble'!$A$2:$X$39</definedName>
    <definedName name="_xlnm.Print_Area" localSheetId="2">'Résultat maison'!$A$2:$W$37</definedName>
    <definedName name="_xlnm.Print_Area" localSheetId="4">'Saisie immeuble'!$A$1:$V$19</definedName>
    <definedName name="_xlnm.Print_Area" localSheetId="1">'Saisie maison'!$A$1:$U$49</definedName>
  </definedNames>
  <calcPr calcId="152511" concurrentCalc="0"/>
</workbook>
</file>

<file path=xl/calcChain.xml><?xml version="1.0" encoding="utf-8"?>
<calcChain xmlns="http://schemas.openxmlformats.org/spreadsheetml/2006/main">
  <c r="AD15" i="12" l="1"/>
  <c r="D2" i="6"/>
  <c r="D17" i="19"/>
  <c r="D18" i="19"/>
  <c r="C17" i="19"/>
  <c r="C18" i="19"/>
  <c r="B17" i="19"/>
  <c r="B18" i="19"/>
  <c r="A17" i="19"/>
  <c r="A18" i="19"/>
  <c r="J5" i="5"/>
  <c r="E18" i="19"/>
  <c r="E17" i="19"/>
  <c r="F17" i="19"/>
  <c r="G17" i="19"/>
  <c r="R6" i="5"/>
  <c r="F18" i="19"/>
  <c r="G18" i="19"/>
  <c r="T15" i="4"/>
  <c r="N6" i="5"/>
  <c r="N7" i="5"/>
  <c r="J6" i="5"/>
  <c r="J7" i="5"/>
  <c r="C6" i="5"/>
  <c r="C7" i="5"/>
  <c r="B6" i="5"/>
  <c r="B7" i="5"/>
  <c r="S14" i="4"/>
  <c r="S15" i="4"/>
  <c r="R15" i="4"/>
  <c r="R14" i="4"/>
  <c r="AP39" i="9"/>
  <c r="BC24" i="9"/>
  <c r="BC29" i="9"/>
  <c r="BA24" i="9"/>
  <c r="BA29" i="9"/>
  <c r="BE29" i="9"/>
  <c r="AY24" i="9"/>
  <c r="AP38" i="9"/>
  <c r="AR52" i="9"/>
  <c r="AP37" i="9"/>
  <c r="AR51" i="9"/>
  <c r="AR41" i="9"/>
  <c r="AR40" i="9"/>
  <c r="AR39" i="9"/>
  <c r="AR38" i="9"/>
  <c r="AR37" i="9"/>
  <c r="AQ52" i="9"/>
  <c r="AQ51" i="9"/>
  <c r="AQ41" i="9"/>
  <c r="AQ40" i="9"/>
  <c r="AQ39" i="9"/>
  <c r="AQ38" i="9"/>
  <c r="AQ37" i="9"/>
  <c r="BC35" i="9"/>
  <c r="BC33" i="9"/>
  <c r="BD33" i="9"/>
  <c r="BA35" i="9"/>
  <c r="BB24" i="9"/>
  <c r="AY35" i="9"/>
  <c r="BA33" i="9"/>
  <c r="BE33" i="9"/>
  <c r="BC15" i="9"/>
  <c r="BD15" i="9"/>
  <c r="BA15" i="9"/>
  <c r="BB15" i="9"/>
  <c r="AY15" i="9"/>
  <c r="BC14" i="9"/>
  <c r="BD14" i="9"/>
  <c r="BA14" i="9"/>
  <c r="BB14" i="9"/>
  <c r="AY14" i="9"/>
  <c r="BC13" i="9"/>
  <c r="BD13" i="9"/>
  <c r="BA13" i="9"/>
  <c r="BB13" i="9"/>
  <c r="AY13" i="9"/>
  <c r="BC12" i="9"/>
  <c r="BD12" i="9"/>
  <c r="BA12" i="9"/>
  <c r="BB12" i="9"/>
  <c r="AY12" i="9"/>
  <c r="BC11" i="9"/>
  <c r="BD11" i="9"/>
  <c r="BA11" i="9"/>
  <c r="BB11" i="9"/>
  <c r="AY11" i="9"/>
  <c r="AN30" i="9"/>
  <c r="AN31" i="9"/>
  <c r="AN23" i="9"/>
  <c r="AN24" i="9"/>
  <c r="AL8" i="9"/>
  <c r="AL7" i="9"/>
  <c r="AK7" i="9"/>
  <c r="AM7" i="9"/>
  <c r="AK8" i="9"/>
  <c r="AM8" i="9"/>
  <c r="AL10" i="9"/>
  <c r="AL9" i="9"/>
  <c r="AL6" i="9"/>
  <c r="AK10" i="9"/>
  <c r="AM10" i="9"/>
  <c r="AK9" i="9"/>
  <c r="AM9" i="9"/>
  <c r="AK6" i="9"/>
  <c r="AF15" i="9"/>
  <c r="AE15" i="9"/>
  <c r="AD15"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6" i="9"/>
  <c r="AE8" i="9"/>
  <c r="N7"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AF5" i="9"/>
  <c r="AE5" i="9"/>
  <c r="AH5" i="9"/>
  <c r="AD5" i="9"/>
  <c r="T14" i="4"/>
  <c r="R7" i="5"/>
  <c r="AE7" i="9"/>
  <c r="AF7" i="9"/>
  <c r="AM6" i="9"/>
  <c r="AN6" i="9"/>
  <c r="AF8" i="9"/>
  <c r="AY16" i="9"/>
  <c r="AZ11" i="9"/>
  <c r="BB33" i="9"/>
  <c r="BD29" i="9"/>
  <c r="AY22" i="9"/>
  <c r="BA22" i="9"/>
  <c r="BB22" i="9"/>
  <c r="AY31" i="9"/>
  <c r="BA31" i="9"/>
  <c r="BB31" i="9"/>
  <c r="BC16" i="9"/>
  <c r="BD16" i="9"/>
  <c r="F7" i="5"/>
  <c r="BC22" i="9"/>
  <c r="BD22" i="9"/>
  <c r="BC31" i="9"/>
  <c r="BD31" i="9"/>
  <c r="BD24" i="9"/>
  <c r="BA16" i="9"/>
  <c r="BB16" i="9"/>
  <c r="F6" i="5"/>
  <c r="BB29" i="9"/>
  <c r="AN8" i="9"/>
  <c r="AK17" i="9"/>
  <c r="AM17" i="9"/>
  <c r="AO17" i="9"/>
  <c r="BC25" i="9"/>
  <c r="BC30" i="9"/>
  <c r="BC34" i="9"/>
  <c r="BD34" i="9"/>
  <c r="BD25" i="9"/>
  <c r="AR44" i="9"/>
  <c r="AR42" i="9"/>
  <c r="AR43" i="9"/>
  <c r="AO8" i="9"/>
  <c r="BC32" i="9"/>
  <c r="BD32" i="9"/>
  <c r="AN17" i="9"/>
  <c r="AO7" i="9"/>
  <c r="BA32" i="9"/>
  <c r="BB32" i="9"/>
  <c r="AN7" i="9"/>
  <c r="B6" i="20"/>
  <c r="BD30" i="9"/>
  <c r="BC26" i="9"/>
  <c r="BD26" i="9"/>
  <c r="BC27" i="9"/>
  <c r="BD27" i="9"/>
  <c r="BC28" i="9"/>
  <c r="BD28" i="9"/>
  <c r="BA26" i="9"/>
  <c r="BB26" i="9"/>
  <c r="BA27" i="9"/>
  <c r="BB27" i="9"/>
  <c r="BA28" i="9"/>
  <c r="BB28" i="9"/>
  <c r="AR53" i="9"/>
  <c r="AR54" i="9"/>
  <c r="AR55" i="9"/>
  <c r="AR56" i="9"/>
  <c r="AQ53" i="9"/>
  <c r="AQ54" i="9"/>
  <c r="AQ55" i="9"/>
  <c r="AQ56" i="9"/>
  <c r="AR49" i="9"/>
  <c r="AR50" i="9"/>
  <c r="AQ49" i="9"/>
  <c r="AQ50" i="9"/>
  <c r="AR46" i="9"/>
  <c r="AR47" i="9"/>
  <c r="AR48" i="9"/>
  <c r="AQ46" i="9"/>
  <c r="AQ47" i="9"/>
  <c r="AQ48" i="9"/>
  <c r="BA23" i="9"/>
  <c r="BB23" i="9"/>
  <c r="AQ45" i="9"/>
  <c r="BC23" i="9"/>
  <c r="BD23" i="9"/>
  <c r="AR45" i="9"/>
  <c r="AO24" i="9"/>
  <c r="G7" i="5"/>
  <c r="BC21" i="9"/>
  <c r="BA21" i="9"/>
  <c r="AO23" i="9"/>
  <c r="G6" i="5"/>
  <c r="B59" i="15"/>
  <c r="C60" i="15"/>
  <c r="D60" i="15"/>
  <c r="E60" i="15"/>
  <c r="C61" i="15"/>
  <c r="D61" i="15"/>
  <c r="E61" i="15"/>
  <c r="C62" i="15"/>
  <c r="D62" i="15"/>
  <c r="E62" i="15"/>
  <c r="C63" i="15"/>
  <c r="D63" i="15"/>
  <c r="E63" i="15"/>
  <c r="B61" i="15"/>
  <c r="B62" i="15"/>
  <c r="B63" i="15"/>
  <c r="B60" i="15"/>
  <c r="I51" i="15"/>
  <c r="I50" i="15"/>
  <c r="I56" i="15"/>
  <c r="J56" i="15"/>
  <c r="K56" i="15"/>
  <c r="L56" i="15"/>
  <c r="J55" i="15"/>
  <c r="K55" i="15"/>
  <c r="L55" i="15"/>
  <c r="I55" i="15"/>
  <c r="C51" i="15"/>
  <c r="D51" i="15"/>
  <c r="E51" i="15"/>
  <c r="B51" i="15"/>
  <c r="B56" i="15"/>
  <c r="C56" i="15"/>
  <c r="D56" i="15"/>
  <c r="E56" i="15"/>
  <c r="F56" i="15"/>
  <c r="C55" i="15"/>
  <c r="D55" i="15"/>
  <c r="E55" i="15"/>
  <c r="F55" i="15"/>
  <c r="B55" i="15"/>
  <c r="BD21" i="9"/>
  <c r="AY39" i="9"/>
  <c r="E7" i="5"/>
  <c r="BB21" i="9"/>
  <c r="D25" i="19"/>
  <c r="D26" i="19"/>
  <c r="D27" i="19"/>
  <c r="D28" i="19"/>
  <c r="D29" i="19"/>
  <c r="D30" i="19"/>
  <c r="D31" i="19"/>
  <c r="D32" i="19"/>
  <c r="D33" i="19"/>
  <c r="C26" i="19"/>
  <c r="C27" i="19"/>
  <c r="C28" i="19"/>
  <c r="C29" i="19"/>
  <c r="E29" i="19"/>
  <c r="C30" i="19"/>
  <c r="C31" i="19"/>
  <c r="C32" i="19"/>
  <c r="C33" i="19"/>
  <c r="E33" i="19"/>
  <c r="D24" i="19"/>
  <c r="C24" i="19"/>
  <c r="B25" i="19"/>
  <c r="B26" i="19"/>
  <c r="B27" i="19"/>
  <c r="B28" i="19"/>
  <c r="B29" i="19"/>
  <c r="B30" i="19"/>
  <c r="B31" i="19"/>
  <c r="B32" i="19"/>
  <c r="B33" i="19"/>
  <c r="B24" i="19"/>
  <c r="D20" i="19"/>
  <c r="C20" i="19"/>
  <c r="B20" i="19"/>
  <c r="A20" i="19"/>
  <c r="D19" i="19"/>
  <c r="C19" i="19"/>
  <c r="B19" i="19"/>
  <c r="A19" i="19"/>
  <c r="D16" i="19"/>
  <c r="B16" i="19"/>
  <c r="A16" i="19"/>
  <c r="T12" i="1"/>
  <c r="T13" i="1"/>
  <c r="T14" i="1"/>
  <c r="T15" i="1"/>
  <c r="T16" i="1"/>
  <c r="T17" i="1"/>
  <c r="T18" i="1"/>
  <c r="T19" i="1"/>
  <c r="T20" i="1"/>
  <c r="T11" i="1"/>
  <c r="S13" i="4"/>
  <c r="S12" i="1"/>
  <c r="S13" i="1"/>
  <c r="S14" i="1"/>
  <c r="S15" i="1"/>
  <c r="S16" i="1"/>
  <c r="S17" i="1"/>
  <c r="S18" i="1"/>
  <c r="S19" i="1"/>
  <c r="S20" i="1"/>
  <c r="S11" i="1"/>
  <c r="R13" i="4"/>
  <c r="A25" i="19"/>
  <c r="A26" i="19"/>
  <c r="A27" i="19"/>
  <c r="A28" i="19"/>
  <c r="A29" i="19"/>
  <c r="A30" i="19"/>
  <c r="A31" i="19"/>
  <c r="A32" i="19"/>
  <c r="A33" i="19"/>
  <c r="A24" i="19"/>
  <c r="B7" i="20"/>
  <c r="B5" i="20"/>
  <c r="C25" i="19"/>
  <c r="C4" i="20"/>
  <c r="B4" i="20"/>
  <c r="C16" i="19"/>
  <c r="E28" i="19"/>
  <c r="F28" i="19"/>
  <c r="G28" i="19"/>
  <c r="F33" i="19"/>
  <c r="G33" i="19"/>
  <c r="R14" i="6"/>
  <c r="S14" i="6"/>
  <c r="F29" i="19"/>
  <c r="G29" i="19"/>
  <c r="R10" i="6"/>
  <c r="S10" i="6"/>
  <c r="E31" i="19"/>
  <c r="F31" i="19"/>
  <c r="G31" i="19"/>
  <c r="E27" i="19"/>
  <c r="F27" i="19"/>
  <c r="G27" i="19"/>
  <c r="E32" i="19"/>
  <c r="F32" i="19"/>
  <c r="G32" i="19"/>
  <c r="E30" i="19"/>
  <c r="F30" i="19"/>
  <c r="G30" i="19"/>
  <c r="E25" i="19"/>
  <c r="F25" i="19"/>
  <c r="G25" i="19"/>
  <c r="E24" i="19"/>
  <c r="F24" i="19"/>
  <c r="G24" i="19"/>
  <c r="E26" i="19"/>
  <c r="F26" i="19"/>
  <c r="G26" i="19"/>
  <c r="J8" i="5"/>
  <c r="J9" i="5"/>
  <c r="R17" i="4"/>
  <c r="R16" i="4"/>
  <c r="U20" i="1"/>
  <c r="R9" i="6"/>
  <c r="S9" i="6"/>
  <c r="U15" i="1"/>
  <c r="U16" i="1"/>
  <c r="U14" i="1"/>
  <c r="R8" i="6"/>
  <c r="S8" i="6"/>
  <c r="U18" i="1"/>
  <c r="R12" i="6"/>
  <c r="S12" i="6"/>
  <c r="U12" i="1"/>
  <c r="R6" i="6"/>
  <c r="S6" i="6"/>
  <c r="U17" i="1"/>
  <c r="R11" i="6"/>
  <c r="S11" i="6"/>
  <c r="U13" i="1"/>
  <c r="R7" i="6"/>
  <c r="S7" i="6"/>
  <c r="U11" i="1"/>
  <c r="R5" i="6"/>
  <c r="S5" i="6"/>
  <c r="R13" i="6"/>
  <c r="S13" i="6"/>
  <c r="U19" i="1"/>
  <c r="E16" i="19"/>
  <c r="F16" i="19"/>
  <c r="G16" i="19"/>
  <c r="R5" i="5"/>
  <c r="E19" i="19"/>
  <c r="F19" i="19"/>
  <c r="G19" i="19"/>
  <c r="S16" i="4"/>
  <c r="S17" i="4"/>
  <c r="S18" i="4"/>
  <c r="S19" i="4"/>
  <c r="S20" i="4"/>
  <c r="S21" i="4"/>
  <c r="S22" i="4"/>
  <c r="S23" i="4"/>
  <c r="S24" i="4"/>
  <c r="S25" i="4"/>
  <c r="S26" i="4"/>
  <c r="S27" i="4"/>
  <c r="S28" i="4"/>
  <c r="S29" i="4"/>
  <c r="S30" i="4"/>
  <c r="S31" i="4"/>
  <c r="S32" i="4"/>
  <c r="S33" i="4"/>
  <c r="S34" i="4"/>
  <c r="S35" i="4"/>
  <c r="S36" i="4"/>
  <c r="S37" i="4"/>
  <c r="S38" i="4"/>
  <c r="R18" i="4"/>
  <c r="R19" i="4"/>
  <c r="R20" i="4"/>
  <c r="R21" i="4"/>
  <c r="R22" i="4"/>
  <c r="R23" i="4"/>
  <c r="R24" i="4"/>
  <c r="R25" i="4"/>
  <c r="R26" i="4"/>
  <c r="R27" i="4"/>
  <c r="R28" i="4"/>
  <c r="R29" i="4"/>
  <c r="R30" i="4"/>
  <c r="R31" i="4"/>
  <c r="R32" i="4"/>
  <c r="R33" i="4"/>
  <c r="R34" i="4"/>
  <c r="R35" i="4"/>
  <c r="R36" i="4"/>
  <c r="R37" i="4"/>
  <c r="R38" i="4"/>
  <c r="E20" i="19"/>
  <c r="F20" i="19"/>
  <c r="G20" i="19"/>
  <c r="T17" i="4"/>
  <c r="R9" i="5"/>
  <c r="S9" i="5"/>
  <c r="R8" i="5"/>
  <c r="S8" i="5"/>
  <c r="T16" i="4"/>
  <c r="S7" i="5"/>
  <c r="S6" i="5"/>
  <c r="T13" i="4"/>
  <c r="S5" i="5"/>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12" i="12"/>
  <c r="AD2"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 i="9"/>
  <c r="H15"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AN33" i="9"/>
  <c r="AN32" i="9"/>
  <c r="AN29" i="9"/>
  <c r="C8" i="5"/>
  <c r="C9" i="5"/>
  <c r="B8" i="5"/>
  <c r="B9" i="5"/>
  <c r="B6" i="6"/>
  <c r="B7" i="6"/>
  <c r="B8" i="6"/>
  <c r="B9" i="6"/>
  <c r="B10" i="6"/>
  <c r="B11" i="6"/>
  <c r="B12" i="6"/>
  <c r="B13" i="6"/>
  <c r="B14" i="6"/>
  <c r="C6" i="6"/>
  <c r="C7" i="6"/>
  <c r="C8" i="6"/>
  <c r="C9" i="6"/>
  <c r="C10" i="6"/>
  <c r="C11" i="6"/>
  <c r="C12" i="6"/>
  <c r="C13" i="6"/>
  <c r="C14" i="6"/>
  <c r="C5" i="6"/>
  <c r="D2" i="5"/>
  <c r="B5" i="6"/>
  <c r="C5" i="5"/>
  <c r="B5" i="5"/>
  <c r="J14" i="6"/>
  <c r="J13" i="6"/>
  <c r="J12" i="6"/>
  <c r="J11" i="6"/>
  <c r="J10" i="6"/>
  <c r="J9" i="6"/>
  <c r="J8" i="6"/>
  <c r="J7" i="6"/>
  <c r="J6" i="6"/>
  <c r="J5" i="6"/>
  <c r="AN25" i="9"/>
  <c r="AN26" i="9"/>
  <c r="AN22" i="9"/>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14" i="12"/>
  <c r="AD16" i="12"/>
  <c r="AD17" i="12"/>
  <c r="AD18" i="12"/>
  <c r="AD19" i="12"/>
  <c r="AD20" i="12"/>
  <c r="AD21" i="12"/>
  <c r="AD22" i="12"/>
  <c r="AD23" i="12"/>
  <c r="AD24" i="12"/>
  <c r="AD25" i="12"/>
  <c r="AD26" i="12"/>
  <c r="AD27" i="12"/>
  <c r="AD28" i="12"/>
  <c r="AD29" i="12"/>
  <c r="AD30" i="12"/>
  <c r="AD31" i="12"/>
  <c r="AD32" i="12"/>
  <c r="AD33" i="12"/>
  <c r="AD34" i="12"/>
  <c r="AD35" i="12"/>
  <c r="AD36" i="12"/>
  <c r="AD37" i="12"/>
  <c r="AD38" i="12"/>
  <c r="AD39" i="12"/>
  <c r="AD40" i="12"/>
  <c r="AD41" i="12"/>
  <c r="AD42" i="12"/>
  <c r="AD43" i="12"/>
  <c r="AD44" i="12"/>
  <c r="AD45" i="12"/>
  <c r="AD46" i="12"/>
  <c r="AD47" i="12"/>
  <c r="AD48" i="12"/>
  <c r="AD49" i="12"/>
  <c r="AD50" i="12"/>
  <c r="AD51" i="12"/>
  <c r="AD52" i="12"/>
  <c r="AD53" i="12"/>
  <c r="AD14" i="12"/>
  <c r="T68" i="12"/>
  <c r="T69" i="12"/>
  <c r="T70" i="12"/>
  <c r="T67" i="12"/>
  <c r="T61" i="12"/>
  <c r="AV17" i="12"/>
  <c r="T60" i="12"/>
  <c r="T59" i="12"/>
  <c r="T58" i="12"/>
  <c r="AW17" i="12"/>
  <c r="AW18" i="12"/>
  <c r="AW19" i="12"/>
  <c r="AW20" i="12"/>
  <c r="AW21" i="12"/>
  <c r="AW22" i="12"/>
  <c r="AW23" i="12"/>
  <c r="AW24" i="12"/>
  <c r="AW25" i="12"/>
  <c r="AW26" i="12"/>
  <c r="AW27" i="12"/>
  <c r="AW28" i="12"/>
  <c r="AW29" i="12"/>
  <c r="AW30" i="12"/>
  <c r="AW31" i="12"/>
  <c r="AW32" i="12"/>
  <c r="AW33" i="12"/>
  <c r="AW34" i="12"/>
  <c r="AW35" i="12"/>
  <c r="AW36" i="12"/>
  <c r="AW37" i="12"/>
  <c r="AW38" i="12"/>
  <c r="AU38" i="12"/>
  <c r="AW39" i="12"/>
  <c r="AU39" i="12"/>
  <c r="AW40" i="12"/>
  <c r="AU40" i="12"/>
  <c r="AW41" i="12"/>
  <c r="AU41" i="12"/>
  <c r="AW42" i="12"/>
  <c r="AU42" i="12"/>
  <c r="AW43" i="12"/>
  <c r="AU43" i="12"/>
  <c r="AW44" i="12"/>
  <c r="AU44" i="12"/>
  <c r="AW45" i="12"/>
  <c r="AU45" i="12"/>
  <c r="AW46" i="12"/>
  <c r="AU46" i="12"/>
  <c r="AW47" i="12"/>
  <c r="AU47" i="12"/>
  <c r="AW48" i="12"/>
  <c r="AU48" i="12"/>
  <c r="AW49" i="12"/>
  <c r="AU49" i="12"/>
  <c r="AW50" i="12"/>
  <c r="AU50" i="12"/>
  <c r="AW51" i="12"/>
  <c r="AU51" i="12"/>
  <c r="AW52" i="12"/>
  <c r="AU52" i="12"/>
  <c r="AW53" i="12"/>
  <c r="AU53" i="12"/>
  <c r="AV18" i="12"/>
  <c r="AV19" i="12"/>
  <c r="AV20" i="12"/>
  <c r="AV21" i="12"/>
  <c r="AV22" i="12"/>
  <c r="AV23" i="12"/>
  <c r="AV24" i="12"/>
  <c r="AV25" i="12"/>
  <c r="AV26" i="12"/>
  <c r="AV27" i="12"/>
  <c r="AV28" i="12"/>
  <c r="AV29" i="12"/>
  <c r="AV30" i="12"/>
  <c r="AV31" i="12"/>
  <c r="AV32" i="12"/>
  <c r="AV33" i="12"/>
  <c r="AV34" i="12"/>
  <c r="AV35" i="12"/>
  <c r="AV36" i="12"/>
  <c r="AV37" i="12"/>
  <c r="AV38" i="12"/>
  <c r="AV39" i="12"/>
  <c r="AV40" i="12"/>
  <c r="AV41" i="12"/>
  <c r="AV42" i="12"/>
  <c r="AV43" i="12"/>
  <c r="AV44" i="12"/>
  <c r="AV45" i="12"/>
  <c r="AV46" i="12"/>
  <c r="AV47" i="12"/>
  <c r="AV48" i="12"/>
  <c r="AV49" i="12"/>
  <c r="AV50" i="12"/>
  <c r="AV51" i="12"/>
  <c r="AV52" i="12"/>
  <c r="AV53" i="12"/>
  <c r="AW15" i="12"/>
  <c r="AW16" i="12"/>
  <c r="AW14" i="12"/>
  <c r="AQ17" i="12"/>
  <c r="AQ18" i="12"/>
  <c r="AQ19" i="12"/>
  <c r="AQ20" i="12"/>
  <c r="AQ21" i="12"/>
  <c r="AQ22" i="12"/>
  <c r="AQ23" i="12"/>
  <c r="AQ24" i="12"/>
  <c r="AQ25" i="12"/>
  <c r="AQ26" i="12"/>
  <c r="AQ27" i="12"/>
  <c r="AQ28" i="12"/>
  <c r="AQ29" i="12"/>
  <c r="AQ30" i="12"/>
  <c r="AQ31" i="12"/>
  <c r="AQ32" i="12"/>
  <c r="AQ33" i="12"/>
  <c r="AQ34" i="12"/>
  <c r="AQ35" i="12"/>
  <c r="AQ36" i="12"/>
  <c r="AQ37" i="12"/>
  <c r="AQ38" i="12"/>
  <c r="AQ39" i="12"/>
  <c r="AQ40" i="12"/>
  <c r="AQ41" i="12"/>
  <c r="AQ42" i="12"/>
  <c r="AQ43" i="12"/>
  <c r="AQ44" i="12"/>
  <c r="AQ45" i="12"/>
  <c r="AQ46" i="12"/>
  <c r="AQ47" i="12"/>
  <c r="AQ48" i="12"/>
  <c r="AQ49" i="12"/>
  <c r="AQ50" i="12"/>
  <c r="AQ51" i="12"/>
  <c r="AQ52" i="12"/>
  <c r="AQ53" i="12"/>
  <c r="AQ15" i="12"/>
  <c r="AQ16" i="12"/>
  <c r="AQ14" i="12"/>
  <c r="AP17" i="12"/>
  <c r="AP18" i="12"/>
  <c r="AP19" i="12"/>
  <c r="AP20" i="12"/>
  <c r="AP21" i="12"/>
  <c r="AP22" i="12"/>
  <c r="AP23" i="12"/>
  <c r="AP24" i="12"/>
  <c r="AP25" i="12"/>
  <c r="AP26" i="12"/>
  <c r="AP27" i="12"/>
  <c r="AP28" i="12"/>
  <c r="AP29" i="12"/>
  <c r="AP30" i="12"/>
  <c r="AP31" i="12"/>
  <c r="AP32" i="12"/>
  <c r="AP33" i="12"/>
  <c r="AP34" i="12"/>
  <c r="AP35" i="12"/>
  <c r="AP36" i="12"/>
  <c r="AP37" i="12"/>
  <c r="AP38" i="12"/>
  <c r="AP39" i="12"/>
  <c r="AP40" i="12"/>
  <c r="AP41" i="12"/>
  <c r="AP42" i="12"/>
  <c r="AP43" i="12"/>
  <c r="AP44" i="12"/>
  <c r="AP45" i="12"/>
  <c r="AP46" i="12"/>
  <c r="AP47" i="12"/>
  <c r="AP48" i="12"/>
  <c r="AP49" i="12"/>
  <c r="AP50" i="12"/>
  <c r="AP51" i="12"/>
  <c r="AP52" i="12"/>
  <c r="AP53" i="12"/>
  <c r="AP15" i="12"/>
  <c r="AP16" i="12"/>
  <c r="AP14"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15" i="12"/>
  <c r="AO16" i="12"/>
  <c r="AO14" i="12"/>
  <c r="AN17" i="12"/>
  <c r="AN18" i="12"/>
  <c r="AN19" i="12"/>
  <c r="AN20" i="12"/>
  <c r="AN21" i="12"/>
  <c r="AN22" i="12"/>
  <c r="AN23" i="12"/>
  <c r="AN24" i="12"/>
  <c r="AN25" i="12"/>
  <c r="AN26" i="12"/>
  <c r="AN27" i="12"/>
  <c r="AN28" i="12"/>
  <c r="AN29" i="12"/>
  <c r="AN30" i="12"/>
  <c r="AN31" i="12"/>
  <c r="AN32" i="12"/>
  <c r="AN33" i="12"/>
  <c r="AN34" i="12"/>
  <c r="AN35" i="12"/>
  <c r="AN36" i="12"/>
  <c r="AN37" i="12"/>
  <c r="AN38" i="12"/>
  <c r="AN39" i="12"/>
  <c r="AN40" i="12"/>
  <c r="AN41" i="12"/>
  <c r="AN42" i="12"/>
  <c r="AN43" i="12"/>
  <c r="AN44" i="12"/>
  <c r="AN45" i="12"/>
  <c r="AN46" i="12"/>
  <c r="AN47" i="12"/>
  <c r="AN48" i="12"/>
  <c r="AN49" i="12"/>
  <c r="AN50" i="12"/>
  <c r="AN51" i="12"/>
  <c r="AN52" i="12"/>
  <c r="AN53" i="12"/>
  <c r="AM17" i="12"/>
  <c r="AM18" i="12"/>
  <c r="AM19" i="12"/>
  <c r="AM20" i="12"/>
  <c r="AM21" i="12"/>
  <c r="AM22" i="12"/>
  <c r="AM23" i="12"/>
  <c r="AM24" i="12"/>
  <c r="AM25" i="12"/>
  <c r="AM26" i="12"/>
  <c r="AM27" i="12"/>
  <c r="AM28" i="12"/>
  <c r="AM29" i="12"/>
  <c r="AM30" i="12"/>
  <c r="AM31" i="12"/>
  <c r="AM32" i="12"/>
  <c r="AM33" i="12"/>
  <c r="AM34" i="12"/>
  <c r="AM35" i="12"/>
  <c r="AM36" i="12"/>
  <c r="AM37" i="12"/>
  <c r="AM38" i="12"/>
  <c r="AM39" i="12"/>
  <c r="AM40" i="12"/>
  <c r="AM41" i="12"/>
  <c r="AM42" i="12"/>
  <c r="AM43" i="12"/>
  <c r="AM44" i="12"/>
  <c r="AM45" i="12"/>
  <c r="AM46" i="12"/>
  <c r="AM47" i="12"/>
  <c r="AM48" i="12"/>
  <c r="AM49" i="12"/>
  <c r="AM50" i="12"/>
  <c r="AM51" i="12"/>
  <c r="AM52" i="12"/>
  <c r="AM53" i="12"/>
  <c r="AN15" i="12"/>
  <c r="AN16" i="12"/>
  <c r="AN14" i="12"/>
  <c r="AM15" i="12"/>
  <c r="AM16" i="12"/>
  <c r="AM14" i="12"/>
  <c r="AK15" i="12"/>
  <c r="AK16" i="12"/>
  <c r="AK17" i="12"/>
  <c r="AK18" i="12"/>
  <c r="AK19" i="12"/>
  <c r="AK20" i="12"/>
  <c r="AK21" i="12"/>
  <c r="AK22" i="12"/>
  <c r="AK23" i="12"/>
  <c r="AK24" i="12"/>
  <c r="AL24" i="12"/>
  <c r="AK25" i="12"/>
  <c r="AL25" i="12"/>
  <c r="AK26" i="12"/>
  <c r="AL26" i="12"/>
  <c r="AK27" i="12"/>
  <c r="AL27" i="12"/>
  <c r="AK28" i="12"/>
  <c r="AL28" i="12"/>
  <c r="AK29" i="12"/>
  <c r="AL29" i="12"/>
  <c r="AK30" i="12"/>
  <c r="AL30" i="12"/>
  <c r="AK31" i="12"/>
  <c r="AK32" i="12"/>
  <c r="AL32" i="12"/>
  <c r="AK33" i="12"/>
  <c r="AL33" i="12"/>
  <c r="AK34" i="12"/>
  <c r="AL34" i="12"/>
  <c r="AK35" i="12"/>
  <c r="AL35" i="12"/>
  <c r="AK36" i="12"/>
  <c r="AL36" i="12"/>
  <c r="AK37" i="12"/>
  <c r="AL37" i="12"/>
  <c r="AK38" i="12"/>
  <c r="AL38" i="12"/>
  <c r="AK39" i="12"/>
  <c r="AL39" i="12"/>
  <c r="AK40" i="12"/>
  <c r="AL40" i="12"/>
  <c r="AK41" i="12"/>
  <c r="AL41" i="12"/>
  <c r="AK42" i="12"/>
  <c r="AL42" i="12"/>
  <c r="AK43" i="12"/>
  <c r="AL43" i="12"/>
  <c r="AK44" i="12"/>
  <c r="AL44" i="12"/>
  <c r="AK45" i="12"/>
  <c r="AL45" i="12"/>
  <c r="AK46" i="12"/>
  <c r="AL46" i="12"/>
  <c r="AK47" i="12"/>
  <c r="AL47" i="12"/>
  <c r="AK48" i="12"/>
  <c r="AL48" i="12"/>
  <c r="AK49" i="12"/>
  <c r="AL49" i="12"/>
  <c r="AK50" i="12"/>
  <c r="AL50" i="12"/>
  <c r="AK51" i="12"/>
  <c r="AL51" i="12"/>
  <c r="AK52" i="12"/>
  <c r="AL52" i="12"/>
  <c r="AK53" i="12"/>
  <c r="AL53" i="12"/>
  <c r="AK14" i="12"/>
  <c r="AJ15" i="12"/>
  <c r="AJ16" i="12"/>
  <c r="AJ17" i="12"/>
  <c r="AJ18" i="12"/>
  <c r="AJ19" i="12"/>
  <c r="AJ20" i="12"/>
  <c r="AJ21" i="12"/>
  <c r="AJ22" i="12"/>
  <c r="AJ23" i="12"/>
  <c r="AJ24" i="12"/>
  <c r="AJ25" i="12"/>
  <c r="AJ26" i="12"/>
  <c r="AJ27" i="12"/>
  <c r="AJ28" i="12"/>
  <c r="AJ29" i="12"/>
  <c r="AJ30" i="12"/>
  <c r="AJ31" i="12"/>
  <c r="AJ32" i="12"/>
  <c r="AJ33" i="12"/>
  <c r="AJ34" i="12"/>
  <c r="AJ35" i="12"/>
  <c r="AJ36" i="12"/>
  <c r="AJ37" i="12"/>
  <c r="AJ38" i="12"/>
  <c r="AJ39" i="12"/>
  <c r="AJ40" i="12"/>
  <c r="AJ41" i="12"/>
  <c r="AJ42" i="12"/>
  <c r="AJ43" i="12"/>
  <c r="AJ44" i="12"/>
  <c r="AJ45" i="12"/>
  <c r="AJ46" i="12"/>
  <c r="AJ47" i="12"/>
  <c r="AJ48" i="12"/>
  <c r="AJ49" i="12"/>
  <c r="AJ50" i="12"/>
  <c r="AJ51" i="12"/>
  <c r="AJ52" i="12"/>
  <c r="AJ53" i="12"/>
  <c r="AJ14" i="12"/>
  <c r="AT17" i="12"/>
  <c r="AT18" i="12"/>
  <c r="AT19" i="12"/>
  <c r="AT20" i="12"/>
  <c r="AT21" i="12"/>
  <c r="AT22" i="12"/>
  <c r="AT23" i="12"/>
  <c r="AT24" i="12"/>
  <c r="AT25" i="12"/>
  <c r="AT26" i="12"/>
  <c r="AT27" i="12"/>
  <c r="AT28" i="12"/>
  <c r="AT29" i="12"/>
  <c r="AT30" i="12"/>
  <c r="AT31" i="12"/>
  <c r="AT32" i="12"/>
  <c r="AT33" i="12"/>
  <c r="AT34" i="12"/>
  <c r="AT35" i="12"/>
  <c r="AT36" i="12"/>
  <c r="AT37" i="12"/>
  <c r="AT38" i="12"/>
  <c r="AT39" i="12"/>
  <c r="AT40" i="12"/>
  <c r="AT41" i="12"/>
  <c r="AT42" i="12"/>
  <c r="AT43" i="12"/>
  <c r="AT44" i="12"/>
  <c r="AT45" i="12"/>
  <c r="AT46" i="12"/>
  <c r="AT47" i="12"/>
  <c r="AT48" i="12"/>
  <c r="AT49" i="12"/>
  <c r="AT50" i="12"/>
  <c r="AT51" i="12"/>
  <c r="AT52" i="12"/>
  <c r="AT53" i="12"/>
  <c r="AH17" i="12"/>
  <c r="AH18" i="12"/>
  <c r="AH19" i="12"/>
  <c r="AH20" i="12"/>
  <c r="AH21" i="12"/>
  <c r="AH22" i="12"/>
  <c r="AH23" i="12"/>
  <c r="AH24" i="12"/>
  <c r="AH25" i="12"/>
  <c r="AH26" i="12"/>
  <c r="AH27" i="12"/>
  <c r="AH28" i="12"/>
  <c r="AH29" i="12"/>
  <c r="AH30" i="12"/>
  <c r="AH31" i="12"/>
  <c r="AH32" i="12"/>
  <c r="AH33" i="12"/>
  <c r="AH34" i="12"/>
  <c r="AH35" i="12"/>
  <c r="AH36" i="12"/>
  <c r="AH37" i="12"/>
  <c r="AH38" i="12"/>
  <c r="AH39" i="12"/>
  <c r="AH40" i="12"/>
  <c r="AH41" i="12"/>
  <c r="AH42" i="12"/>
  <c r="AH43" i="12"/>
  <c r="AH44" i="12"/>
  <c r="AH45" i="12"/>
  <c r="AH46" i="12"/>
  <c r="AH47" i="12"/>
  <c r="AH48" i="12"/>
  <c r="AH49" i="12"/>
  <c r="AH50" i="12"/>
  <c r="AH51" i="12"/>
  <c r="AH52" i="12"/>
  <c r="AH53" i="12"/>
  <c r="AT15" i="12"/>
  <c r="AT16" i="12"/>
  <c r="AT14" i="12"/>
  <c r="AH15" i="12"/>
  <c r="AH16" i="12"/>
  <c r="AH14" i="12"/>
  <c r="N6" i="6"/>
  <c r="N7" i="6"/>
  <c r="N8" i="6"/>
  <c r="N9" i="6"/>
  <c r="N10" i="6"/>
  <c r="N11" i="6"/>
  <c r="N12" i="6"/>
  <c r="N13" i="6"/>
  <c r="N14" i="6"/>
  <c r="N5" i="6"/>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R17" i="12"/>
  <c r="R18" i="12"/>
  <c r="R19" i="12"/>
  <c r="T19" i="12"/>
  <c r="R20" i="12"/>
  <c r="R21" i="12"/>
  <c r="T21" i="12"/>
  <c r="R22" i="12"/>
  <c r="T22" i="12"/>
  <c r="R23" i="12"/>
  <c r="T23" i="12"/>
  <c r="R24" i="12"/>
  <c r="R25" i="12"/>
  <c r="T25" i="12"/>
  <c r="R26" i="12"/>
  <c r="T26" i="12"/>
  <c r="R27" i="12"/>
  <c r="T27" i="12"/>
  <c r="R28" i="12"/>
  <c r="R29" i="12"/>
  <c r="T29" i="12"/>
  <c r="R30" i="12"/>
  <c r="T30" i="12"/>
  <c r="R31" i="12"/>
  <c r="T31" i="12"/>
  <c r="R32" i="12"/>
  <c r="R33" i="12"/>
  <c r="T33" i="12"/>
  <c r="R34" i="12"/>
  <c r="T34" i="12"/>
  <c r="R35" i="12"/>
  <c r="T35" i="12"/>
  <c r="R36" i="12"/>
  <c r="R37" i="12"/>
  <c r="T37" i="12"/>
  <c r="R38" i="12"/>
  <c r="T38" i="12"/>
  <c r="R39" i="12"/>
  <c r="T39" i="12"/>
  <c r="R40" i="12"/>
  <c r="R41" i="12"/>
  <c r="T41" i="12"/>
  <c r="R42" i="12"/>
  <c r="T42" i="12"/>
  <c r="R43" i="12"/>
  <c r="T43" i="12"/>
  <c r="R44" i="12"/>
  <c r="R45" i="12"/>
  <c r="T45" i="12"/>
  <c r="R46" i="12"/>
  <c r="T46" i="12"/>
  <c r="R47" i="12"/>
  <c r="T47" i="12"/>
  <c r="R48" i="12"/>
  <c r="R49" i="12"/>
  <c r="T49" i="12"/>
  <c r="R50" i="12"/>
  <c r="T50" i="12"/>
  <c r="R51" i="12"/>
  <c r="T51" i="12"/>
  <c r="R52" i="12"/>
  <c r="R53" i="12"/>
  <c r="T53" i="12"/>
  <c r="S15" i="12"/>
  <c r="S16" i="12"/>
  <c r="S14" i="12"/>
  <c r="R16" i="12"/>
  <c r="R15" i="12"/>
  <c r="R14" i="12"/>
  <c r="E17" i="12"/>
  <c r="M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15" i="12"/>
  <c r="M15" i="12"/>
  <c r="E16" i="12"/>
  <c r="M16" i="12"/>
  <c r="E14" i="12"/>
  <c r="M14" i="12"/>
  <c r="G45" i="12"/>
  <c r="F34" i="12"/>
  <c r="AL31" i="12"/>
  <c r="C20" i="12"/>
  <c r="D20" i="12"/>
  <c r="H20" i="12"/>
  <c r="C21" i="12"/>
  <c r="D21" i="12"/>
  <c r="C22" i="12"/>
  <c r="D22" i="12"/>
  <c r="C23" i="12"/>
  <c r="D23" i="12"/>
  <c r="C24" i="12"/>
  <c r="D24" i="12"/>
  <c r="C25" i="12"/>
  <c r="D25" i="12"/>
  <c r="C26" i="12"/>
  <c r="D26" i="12"/>
  <c r="C27" i="12"/>
  <c r="D27" i="12"/>
  <c r="C28" i="12"/>
  <c r="D28" i="12"/>
  <c r="C29" i="12"/>
  <c r="D29" i="12"/>
  <c r="C30" i="12"/>
  <c r="D30" i="12"/>
  <c r="C31" i="12"/>
  <c r="D31" i="12"/>
  <c r="C32" i="12"/>
  <c r="D32" i="12"/>
  <c r="C33" i="12"/>
  <c r="D33" i="12"/>
  <c r="C34" i="12"/>
  <c r="D34" i="12"/>
  <c r="C35" i="12"/>
  <c r="D35" i="12"/>
  <c r="C36" i="12"/>
  <c r="D36" i="12"/>
  <c r="C37" i="12"/>
  <c r="D37" i="12"/>
  <c r="C38" i="12"/>
  <c r="D38" i="12"/>
  <c r="C39" i="12"/>
  <c r="D39" i="12"/>
  <c r="C40" i="12"/>
  <c r="D40" i="12"/>
  <c r="C41" i="12"/>
  <c r="D41" i="12"/>
  <c r="C42" i="12"/>
  <c r="D42" i="12"/>
  <c r="C43" i="12"/>
  <c r="D43" i="12"/>
  <c r="C44" i="12"/>
  <c r="D44" i="12"/>
  <c r="C45" i="12"/>
  <c r="D45" i="12"/>
  <c r="C46" i="12"/>
  <c r="D46" i="12"/>
  <c r="C47" i="12"/>
  <c r="D47" i="12"/>
  <c r="C48" i="12"/>
  <c r="D48" i="12"/>
  <c r="C49" i="12"/>
  <c r="D49" i="12"/>
  <c r="C50" i="12"/>
  <c r="D50" i="12"/>
  <c r="C51" i="12"/>
  <c r="D51" i="12"/>
  <c r="C52" i="12"/>
  <c r="D52" i="12"/>
  <c r="C53" i="12"/>
  <c r="D53" i="12"/>
  <c r="C15" i="12"/>
  <c r="C16" i="12"/>
  <c r="C17" i="12"/>
  <c r="C18" i="12"/>
  <c r="C19" i="12"/>
  <c r="C14" i="12"/>
  <c r="BC8" i="12"/>
  <c r="BD8" i="12"/>
  <c r="BE8" i="12"/>
  <c r="BF8" i="12"/>
  <c r="BG8" i="12"/>
  <c r="BH8" i="12"/>
  <c r="BI8" i="12"/>
  <c r="BJ8" i="12"/>
  <c r="BK8" i="12"/>
  <c r="BL8" i="12"/>
  <c r="BM8" i="12"/>
  <c r="AR8" i="12"/>
  <c r="AS8" i="12"/>
  <c r="AT8" i="12"/>
  <c r="AU8" i="12"/>
  <c r="AV8" i="12"/>
  <c r="AW8" i="12"/>
  <c r="AX8" i="12"/>
  <c r="AY8" i="12"/>
  <c r="AZ8" i="12"/>
  <c r="BA8" i="12"/>
  <c r="BB8" i="12"/>
  <c r="AO8" i="12"/>
  <c r="AP8" i="12"/>
  <c r="AQ8" i="12"/>
  <c r="AF8" i="12"/>
  <c r="AG8" i="12"/>
  <c r="AH8" i="12"/>
  <c r="AI8" i="12"/>
  <c r="AJ8" i="12"/>
  <c r="AK8" i="12"/>
  <c r="AL8" i="12"/>
  <c r="AM8" i="12"/>
  <c r="AN8" i="12"/>
  <c r="P8" i="12"/>
  <c r="Q8" i="12"/>
  <c r="R8" i="12"/>
  <c r="S8" i="12"/>
  <c r="T8" i="12"/>
  <c r="U8" i="12"/>
  <c r="V8" i="12"/>
  <c r="W8" i="12"/>
  <c r="X8" i="12"/>
  <c r="Y8" i="12"/>
  <c r="Z8" i="12"/>
  <c r="AA8" i="12"/>
  <c r="AB8" i="12"/>
  <c r="AC8" i="12"/>
  <c r="AD8" i="12"/>
  <c r="AE8" i="12"/>
  <c r="I8" i="12"/>
  <c r="J8" i="12"/>
  <c r="K8" i="12"/>
  <c r="L8" i="12"/>
  <c r="M8" i="12"/>
  <c r="N8" i="12"/>
  <c r="O8" i="12"/>
  <c r="E8" i="12"/>
  <c r="F8" i="12"/>
  <c r="G8" i="12"/>
  <c r="H8" i="12"/>
  <c r="D8" i="12"/>
  <c r="D7" i="12"/>
  <c r="BC7" i="12"/>
  <c r="BD7" i="12"/>
  <c r="BE7" i="12"/>
  <c r="BF7" i="12"/>
  <c r="BG7" i="12"/>
  <c r="BH7" i="12"/>
  <c r="BI7" i="12"/>
  <c r="BJ7" i="12"/>
  <c r="BK7" i="12"/>
  <c r="BL7" i="12"/>
  <c r="BM7" i="12"/>
  <c r="AR7" i="12"/>
  <c r="AS7" i="12"/>
  <c r="AT7" i="12"/>
  <c r="AU7" i="12"/>
  <c r="AV7" i="12"/>
  <c r="AW7" i="12"/>
  <c r="AX7" i="12"/>
  <c r="AY7" i="12"/>
  <c r="AZ7" i="12"/>
  <c r="BA7" i="12"/>
  <c r="BB7" i="12"/>
  <c r="AQ7" i="12"/>
  <c r="AP7" i="12"/>
  <c r="AO7" i="12"/>
  <c r="AF7" i="12"/>
  <c r="AG7" i="12"/>
  <c r="AH7" i="12"/>
  <c r="AI7" i="12"/>
  <c r="AJ7" i="12"/>
  <c r="AK7" i="12"/>
  <c r="AL7" i="12"/>
  <c r="AM7" i="12"/>
  <c r="AN7" i="12"/>
  <c r="P7" i="12"/>
  <c r="Q7" i="12"/>
  <c r="R7" i="12"/>
  <c r="S7" i="12"/>
  <c r="T7" i="12"/>
  <c r="U7" i="12"/>
  <c r="V7" i="12"/>
  <c r="W7" i="12"/>
  <c r="X7" i="12"/>
  <c r="Y7" i="12"/>
  <c r="Z7" i="12"/>
  <c r="AA7" i="12"/>
  <c r="AB7" i="12"/>
  <c r="AC7" i="12"/>
  <c r="AD7" i="12"/>
  <c r="AE7" i="12"/>
  <c r="I7" i="12"/>
  <c r="J7" i="12"/>
  <c r="K7" i="12"/>
  <c r="L7" i="12"/>
  <c r="M7" i="12"/>
  <c r="N7" i="12"/>
  <c r="O7" i="12"/>
  <c r="E7" i="12"/>
  <c r="F7" i="12"/>
  <c r="G7" i="12"/>
  <c r="H7" i="12"/>
  <c r="D6" i="12"/>
  <c r="BC6" i="12"/>
  <c r="BD6" i="12"/>
  <c r="BE6" i="12"/>
  <c r="BF6" i="12"/>
  <c r="BG6" i="12"/>
  <c r="BH6" i="12"/>
  <c r="BI6" i="12"/>
  <c r="BJ6" i="12"/>
  <c r="BK6" i="12"/>
  <c r="BL6" i="12"/>
  <c r="BM6" i="12"/>
  <c r="AR6" i="12"/>
  <c r="AS6" i="12"/>
  <c r="AT6" i="12"/>
  <c r="AU6" i="12"/>
  <c r="AV6" i="12"/>
  <c r="AW6" i="12"/>
  <c r="AX6" i="12"/>
  <c r="AY6" i="12"/>
  <c r="AZ6" i="12"/>
  <c r="BA6" i="12"/>
  <c r="BB6" i="12"/>
  <c r="AO6" i="12"/>
  <c r="AP6" i="12"/>
  <c r="AQ6" i="12"/>
  <c r="AF6" i="12"/>
  <c r="AG6" i="12"/>
  <c r="AH6" i="12"/>
  <c r="AI6" i="12"/>
  <c r="AJ6" i="12"/>
  <c r="AK6" i="12"/>
  <c r="AL6" i="12"/>
  <c r="AM6" i="12"/>
  <c r="AN6" i="12"/>
  <c r="P6" i="12"/>
  <c r="Q6" i="12"/>
  <c r="R6" i="12"/>
  <c r="S6" i="12"/>
  <c r="T6" i="12"/>
  <c r="U6" i="12"/>
  <c r="V6" i="12"/>
  <c r="W6" i="12"/>
  <c r="X6" i="12"/>
  <c r="Y6" i="12"/>
  <c r="Z6" i="12"/>
  <c r="AA6" i="12"/>
  <c r="AB6" i="12"/>
  <c r="AC6" i="12"/>
  <c r="AD6" i="12"/>
  <c r="AE6" i="12"/>
  <c r="I6" i="12"/>
  <c r="J6" i="12"/>
  <c r="K6" i="12"/>
  <c r="L6" i="12"/>
  <c r="M6" i="12"/>
  <c r="N6" i="12"/>
  <c r="O6" i="12"/>
  <c r="H6" i="12"/>
  <c r="G6" i="12"/>
  <c r="E6" i="12"/>
  <c r="F6" i="12"/>
  <c r="D5" i="12"/>
  <c r="E5" i="12"/>
  <c r="BC5" i="12"/>
  <c r="BD5" i="12"/>
  <c r="BE5" i="12"/>
  <c r="BF5" i="12"/>
  <c r="BG5" i="12"/>
  <c r="BH5" i="12"/>
  <c r="BI5" i="12"/>
  <c r="BJ5" i="12"/>
  <c r="BK5" i="12"/>
  <c r="BL5" i="12"/>
  <c r="BM5" i="12"/>
  <c r="AR5" i="12"/>
  <c r="AS5" i="12"/>
  <c r="AT5" i="12"/>
  <c r="AU5" i="12"/>
  <c r="AV5" i="12"/>
  <c r="AW5" i="12"/>
  <c r="AX5" i="12"/>
  <c r="AY5" i="12"/>
  <c r="AZ5" i="12"/>
  <c r="BA5" i="12"/>
  <c r="BB5" i="12"/>
  <c r="AQ5" i="12"/>
  <c r="AO5" i="12"/>
  <c r="AP5" i="12"/>
  <c r="AN5" i="12"/>
  <c r="AF5" i="12"/>
  <c r="AG5" i="12"/>
  <c r="AH5" i="12"/>
  <c r="AI5" i="12"/>
  <c r="AJ5" i="12"/>
  <c r="AK5" i="12"/>
  <c r="AL5" i="12"/>
  <c r="AM5" i="12"/>
  <c r="AE5" i="12"/>
  <c r="P5" i="12"/>
  <c r="Q5" i="12"/>
  <c r="R5" i="12"/>
  <c r="S5" i="12"/>
  <c r="T5" i="12"/>
  <c r="U5" i="12"/>
  <c r="V5" i="12"/>
  <c r="W5" i="12"/>
  <c r="X5" i="12"/>
  <c r="Y5" i="12"/>
  <c r="Z5" i="12"/>
  <c r="AA5" i="12"/>
  <c r="AB5" i="12"/>
  <c r="AC5" i="12"/>
  <c r="AD5" i="12"/>
  <c r="O5" i="12"/>
  <c r="I5" i="12"/>
  <c r="J5" i="12"/>
  <c r="K5" i="12"/>
  <c r="L5" i="12"/>
  <c r="M5" i="12"/>
  <c r="N5" i="12"/>
  <c r="H5" i="12"/>
  <c r="F5" i="12"/>
  <c r="G5" i="12"/>
  <c r="AR13" i="12"/>
  <c r="BG35" i="9"/>
  <c r="BE35" i="9"/>
  <c r="BG14" i="9"/>
  <c r="BH14" i="9"/>
  <c r="BG13" i="9"/>
  <c r="BH13" i="9"/>
  <c r="BG11" i="9"/>
  <c r="BH11" i="9"/>
  <c r="BE14" i="9"/>
  <c r="BF14" i="9"/>
  <c r="BE13" i="9"/>
  <c r="BF13" i="9"/>
  <c r="BE11" i="9"/>
  <c r="BF11" i="9"/>
  <c r="AZ14" i="9"/>
  <c r="AZ13" i="9"/>
  <c r="N8" i="5"/>
  <c r="N9" i="5"/>
  <c r="N5" i="5"/>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 i="9"/>
  <c r="BG12" i="9"/>
  <c r="BH12" i="9"/>
  <c r="BG15" i="9"/>
  <c r="BH15" i="9"/>
  <c r="BE15" i="9"/>
  <c r="BF15" i="9"/>
  <c r="BE12" i="9"/>
  <c r="BF12" i="9"/>
  <c r="AZ15" i="9"/>
  <c r="AZ12" i="9"/>
  <c r="AH15" i="9"/>
  <c r="AG15" i="9"/>
  <c r="AT41" i="9"/>
  <c r="AS41" i="9"/>
  <c r="AP41" i="9"/>
  <c r="AS40" i="9"/>
  <c r="AT40" i="9"/>
  <c r="AP40" i="9"/>
  <c r="AS39" i="9"/>
  <c r="AT39" i="9"/>
  <c r="AS38" i="9"/>
  <c r="AT38" i="9"/>
  <c r="AP52" i="9"/>
  <c r="S6" i="9"/>
  <c r="AT37" i="9"/>
  <c r="AS37" i="9"/>
  <c r="AP51" i="9"/>
  <c r="AG5" i="9"/>
  <c r="T45" i="9"/>
  <c r="T51" i="9"/>
  <c r="T67" i="9"/>
  <c r="T66" i="9"/>
  <c r="T61" i="9"/>
  <c r="T60" i="9"/>
  <c r="T59" i="9"/>
  <c r="T58" i="9"/>
  <c r="T56" i="9"/>
  <c r="T54" i="9"/>
  <c r="T50" i="9"/>
  <c r="T46" i="9"/>
  <c r="T41" i="9"/>
  <c r="T39" i="9"/>
  <c r="T36" i="9"/>
  <c r="T33" i="9"/>
  <c r="T32" i="9"/>
  <c r="T30" i="9"/>
  <c r="T29" i="9"/>
  <c r="T26" i="9"/>
  <c r="T25" i="9"/>
  <c r="T24" i="9"/>
  <c r="T21" i="9"/>
  <c r="T20" i="9"/>
  <c r="T19" i="9"/>
  <c r="T17" i="9"/>
  <c r="T16" i="9"/>
  <c r="T13" i="9"/>
  <c r="T12" i="9"/>
  <c r="T11" i="9"/>
  <c r="T10" i="9"/>
  <c r="T9" i="9"/>
  <c r="T8" i="9"/>
  <c r="T6" i="9"/>
  <c r="AH8" i="9"/>
  <c r="T65" i="9"/>
  <c r="T64" i="9"/>
  <c r="T63" i="9"/>
  <c r="T53" i="9"/>
  <c r="T52" i="9"/>
  <c r="T49" i="9"/>
  <c r="T48" i="9"/>
  <c r="T47" i="9"/>
  <c r="T42" i="9"/>
  <c r="T40" i="9"/>
  <c r="T37" i="9"/>
  <c r="T28" i="9"/>
  <c r="T23" i="9"/>
  <c r="T22" i="9"/>
  <c r="T15" i="9"/>
  <c r="T14" i="9"/>
  <c r="T7" i="9"/>
  <c r="T62" i="9"/>
  <c r="T57" i="9"/>
  <c r="T55" i="9"/>
  <c r="T44" i="9"/>
  <c r="T43" i="9"/>
  <c r="T38" i="9"/>
  <c r="T35" i="9"/>
  <c r="T34" i="9"/>
  <c r="T31" i="9"/>
  <c r="T27" i="9"/>
  <c r="T18" i="9"/>
  <c r="S23" i="9"/>
  <c r="S47" i="9"/>
  <c r="S67" i="9"/>
  <c r="S66" i="9"/>
  <c r="S61" i="9"/>
  <c r="S60" i="9"/>
  <c r="S59" i="9"/>
  <c r="S58" i="9"/>
  <c r="S56" i="9"/>
  <c r="S54" i="9"/>
  <c r="S51" i="9"/>
  <c r="S50" i="9"/>
  <c r="S46" i="9"/>
  <c r="S45" i="9"/>
  <c r="S41" i="9"/>
  <c r="S39" i="9"/>
  <c r="S36" i="9"/>
  <c r="S33" i="9"/>
  <c r="S32" i="9"/>
  <c r="S30" i="9"/>
  <c r="S29" i="9"/>
  <c r="S26" i="9"/>
  <c r="S24" i="9"/>
  <c r="S21" i="9"/>
  <c r="S20" i="9"/>
  <c r="S19" i="9"/>
  <c r="S17" i="9"/>
  <c r="S16" i="9"/>
  <c r="S13" i="9"/>
  <c r="S11" i="9"/>
  <c r="S12" i="9"/>
  <c r="S10" i="9"/>
  <c r="S65" i="9"/>
  <c r="S64" i="9"/>
  <c r="S63" i="9"/>
  <c r="S53" i="9"/>
  <c r="S52" i="9"/>
  <c r="S49" i="9"/>
  <c r="S48" i="9"/>
  <c r="S42" i="9"/>
  <c r="S40" i="9"/>
  <c r="S37" i="9"/>
  <c r="S28" i="9"/>
  <c r="S22" i="9"/>
  <c r="S15" i="9"/>
  <c r="S14" i="9"/>
  <c r="S7" i="9"/>
  <c r="S62" i="9"/>
  <c r="S57" i="9"/>
  <c r="S55" i="9"/>
  <c r="S44" i="9"/>
  <c r="S43" i="9"/>
  <c r="S38" i="9"/>
  <c r="S35" i="9"/>
  <c r="S34" i="9"/>
  <c r="S31" i="9"/>
  <c r="S27" i="9"/>
  <c r="S25" i="9"/>
  <c r="S18" i="9"/>
  <c r="S9" i="9"/>
  <c r="S8" i="9"/>
  <c r="AH7" i="9"/>
  <c r="R45" i="9"/>
  <c r="R51" i="9"/>
  <c r="R67" i="9"/>
  <c r="R66" i="9"/>
  <c r="R61" i="9"/>
  <c r="R60" i="9"/>
  <c r="R59" i="9"/>
  <c r="R58" i="9"/>
  <c r="R56" i="9"/>
  <c r="R54" i="9"/>
  <c r="R50" i="9"/>
  <c r="R46" i="9"/>
  <c r="R41" i="9"/>
  <c r="R39" i="9"/>
  <c r="R36" i="9"/>
  <c r="R33" i="9"/>
  <c r="R32" i="9"/>
  <c r="R30" i="9"/>
  <c r="R29" i="9"/>
  <c r="R26" i="9"/>
  <c r="R25" i="9"/>
  <c r="R24" i="9"/>
  <c r="R21" i="9"/>
  <c r="R20" i="9"/>
  <c r="R19" i="9"/>
  <c r="R17" i="9"/>
  <c r="R16" i="9"/>
  <c r="R13" i="9"/>
  <c r="R12" i="9"/>
  <c r="R11" i="9"/>
  <c r="R10" i="9"/>
  <c r="R9" i="9"/>
  <c r="R8" i="9"/>
  <c r="R65" i="9"/>
  <c r="R64" i="9"/>
  <c r="R63" i="9"/>
  <c r="R53" i="9"/>
  <c r="R52" i="9"/>
  <c r="R49" i="9"/>
  <c r="R48" i="9"/>
  <c r="R47" i="9"/>
  <c r="R42" i="9"/>
  <c r="R40" i="9"/>
  <c r="R37" i="9"/>
  <c r="R28" i="9"/>
  <c r="R23" i="9"/>
  <c r="R22" i="9"/>
  <c r="R15" i="9"/>
  <c r="R14" i="9"/>
  <c r="R7" i="9"/>
  <c r="R62" i="9"/>
  <c r="R57" i="9"/>
  <c r="R55" i="9"/>
  <c r="R44" i="9"/>
  <c r="R43" i="9"/>
  <c r="R38" i="9"/>
  <c r="R35" i="9"/>
  <c r="R34" i="9"/>
  <c r="R31" i="9"/>
  <c r="R27" i="9"/>
  <c r="R18" i="9"/>
  <c r="Q22" i="9"/>
  <c r="Q39" i="9"/>
  <c r="Q45" i="9"/>
  <c r="Q50" i="9"/>
  <c r="Q54" i="9"/>
  <c r="Q56" i="9"/>
  <c r="Q58" i="9"/>
  <c r="Q59" i="9"/>
  <c r="Q67" i="9"/>
  <c r="Q66" i="9"/>
  <c r="Q61" i="9"/>
  <c r="Q60" i="9"/>
  <c r="Q51" i="9"/>
  <c r="Q46" i="9"/>
  <c r="Q41" i="9"/>
  <c r="Q36" i="9"/>
  <c r="Q33" i="9"/>
  <c r="Q32" i="9"/>
  <c r="Q30" i="9"/>
  <c r="Q29" i="9"/>
  <c r="Q26" i="9"/>
  <c r="Q24" i="9"/>
  <c r="Q21" i="9"/>
  <c r="Q20" i="9"/>
  <c r="Q19" i="9"/>
  <c r="Q17" i="9"/>
  <c r="Q16" i="9"/>
  <c r="Q13" i="9"/>
  <c r="Q12" i="9"/>
  <c r="Q11" i="9"/>
  <c r="Q10" i="9"/>
  <c r="Q65" i="9"/>
  <c r="Q64" i="9"/>
  <c r="Q63" i="9"/>
  <c r="Q53" i="9"/>
  <c r="Q52" i="9"/>
  <c r="Q49" i="9"/>
  <c r="Q48" i="9"/>
  <c r="Q47" i="9"/>
  <c r="Q42" i="9"/>
  <c r="Q40" i="9"/>
  <c r="Q37" i="9"/>
  <c r="Q28" i="9"/>
  <c r="Q23" i="9"/>
  <c r="Q15" i="9"/>
  <c r="Q14" i="9"/>
  <c r="Q62" i="9"/>
  <c r="Q57" i="9"/>
  <c r="Q55" i="9"/>
  <c r="Q44" i="9"/>
  <c r="Q43" i="9"/>
  <c r="Q38" i="9"/>
  <c r="Q35" i="9"/>
  <c r="Q34" i="9"/>
  <c r="Q31" i="9"/>
  <c r="Q27" i="9"/>
  <c r="Q25" i="9"/>
  <c r="Q18" i="9"/>
  <c r="Q9" i="9"/>
  <c r="Q8" i="9"/>
  <c r="Q7" i="9"/>
  <c r="R6" i="9"/>
  <c r="Q6" i="9"/>
  <c r="L61" i="9"/>
  <c r="K61" i="9"/>
  <c r="L67" i="9"/>
  <c r="L51" i="9"/>
  <c r="L45" i="9"/>
  <c r="L42" i="9"/>
  <c r="L66" i="9"/>
  <c r="L60" i="9"/>
  <c r="L59" i="9"/>
  <c r="L58" i="9"/>
  <c r="L56" i="9"/>
  <c r="L54" i="9"/>
  <c r="L50" i="9"/>
  <c r="L46" i="9"/>
  <c r="L43" i="9"/>
  <c r="L41" i="9"/>
  <c r="L39" i="9"/>
  <c r="L36" i="9"/>
  <c r="L33" i="9"/>
  <c r="L32" i="9"/>
  <c r="L30" i="9"/>
  <c r="L29" i="9"/>
  <c r="L26" i="9"/>
  <c r="L25" i="9"/>
  <c r="L24" i="9"/>
  <c r="L21" i="9"/>
  <c r="L20" i="9"/>
  <c r="L19" i="9"/>
  <c r="L17" i="9"/>
  <c r="L16" i="9"/>
  <c r="L13" i="9"/>
  <c r="L12" i="9"/>
  <c r="L11" i="9"/>
  <c r="L10" i="9"/>
  <c r="L9" i="9"/>
  <c r="L8" i="9"/>
  <c r="L65" i="9"/>
  <c r="L64" i="9"/>
  <c r="L63" i="9"/>
  <c r="L53" i="9"/>
  <c r="L52" i="9"/>
  <c r="L49" i="9"/>
  <c r="L48" i="9"/>
  <c r="L47" i="9"/>
  <c r="L40" i="9"/>
  <c r="L37" i="9"/>
  <c r="L28" i="9"/>
  <c r="L23" i="9"/>
  <c r="L22" i="9"/>
  <c r="L15" i="9"/>
  <c r="L14" i="9"/>
  <c r="L7" i="9"/>
  <c r="L62" i="9"/>
  <c r="L57" i="9"/>
  <c r="L55" i="9"/>
  <c r="L44" i="9"/>
  <c r="L38" i="9"/>
  <c r="L35" i="9"/>
  <c r="L34" i="9"/>
  <c r="L31" i="9"/>
  <c r="L27" i="9"/>
  <c r="L18" i="9"/>
  <c r="L6" i="9"/>
  <c r="K46" i="9"/>
  <c r="K41" i="9"/>
  <c r="K65" i="9"/>
  <c r="K64" i="9"/>
  <c r="K63" i="9"/>
  <c r="K53" i="9"/>
  <c r="K52" i="9"/>
  <c r="K49" i="9"/>
  <c r="K48" i="9"/>
  <c r="K47" i="9"/>
  <c r="K42" i="9"/>
  <c r="K40" i="9"/>
  <c r="K37" i="9"/>
  <c r="K28" i="9"/>
  <c r="K23" i="9"/>
  <c r="K22" i="9"/>
  <c r="K15" i="9"/>
  <c r="K14" i="9"/>
  <c r="K7" i="9"/>
  <c r="K6" i="9"/>
  <c r="K67" i="9"/>
  <c r="K66" i="9"/>
  <c r="K60" i="9"/>
  <c r="K59" i="9"/>
  <c r="K58" i="9"/>
  <c r="K56" i="9"/>
  <c r="K54" i="9"/>
  <c r="K51" i="9"/>
  <c r="K50" i="9"/>
  <c r="K45" i="9"/>
  <c r="K39" i="9"/>
  <c r="K36" i="9"/>
  <c r="K33" i="9"/>
  <c r="K32" i="9"/>
  <c r="K30" i="9"/>
  <c r="K29" i="9"/>
  <c r="K26" i="9"/>
  <c r="K24" i="9"/>
  <c r="K21" i="9"/>
  <c r="K20" i="9"/>
  <c r="K19" i="9"/>
  <c r="K17" i="9"/>
  <c r="K16" i="9"/>
  <c r="K13" i="9"/>
  <c r="K12" i="9"/>
  <c r="K11" i="9"/>
  <c r="K10" i="9"/>
  <c r="K62" i="9"/>
  <c r="K57" i="9"/>
  <c r="K55" i="9"/>
  <c r="K44" i="9"/>
  <c r="K43" i="9"/>
  <c r="K38" i="9"/>
  <c r="K35" i="9"/>
  <c r="K34" i="9"/>
  <c r="K31" i="9"/>
  <c r="K27" i="9"/>
  <c r="K25" i="9"/>
  <c r="K18" i="9"/>
  <c r="K9" i="9"/>
  <c r="K8" i="9"/>
  <c r="AD7"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 i="9"/>
  <c r="AX16" i="9"/>
  <c r="T18" i="12"/>
  <c r="D16" i="12"/>
  <c r="H16" i="12"/>
  <c r="D19" i="12"/>
  <c r="H19" i="12"/>
  <c r="D18" i="12"/>
  <c r="H18" i="12"/>
  <c r="T52" i="12"/>
  <c r="V52" i="12"/>
  <c r="T48" i="12"/>
  <c r="T44" i="12"/>
  <c r="T40" i="12"/>
  <c r="T36" i="12"/>
  <c r="V36" i="12"/>
  <c r="T32" i="12"/>
  <c r="T28" i="12"/>
  <c r="T24" i="12"/>
  <c r="T20" i="12"/>
  <c r="T16" i="12"/>
  <c r="V16" i="12"/>
  <c r="T17" i="12"/>
  <c r="V17" i="12"/>
  <c r="T15" i="12"/>
  <c r="T14" i="12"/>
  <c r="AG8" i="9"/>
  <c r="AG7" i="9"/>
  <c r="AE16" i="9"/>
  <c r="AH16" i="9"/>
  <c r="AD16" i="9"/>
  <c r="AF16" i="9"/>
  <c r="AE6" i="9"/>
  <c r="AF6" i="9"/>
  <c r="AD6" i="9"/>
  <c r="AG6" i="9"/>
  <c r="AG16" i="9"/>
  <c r="I51" i="12"/>
  <c r="I47" i="12"/>
  <c r="I43" i="12"/>
  <c r="I39" i="12"/>
  <c r="I35" i="12"/>
  <c r="I31" i="12"/>
  <c r="I27" i="12"/>
  <c r="I23" i="12"/>
  <c r="I50" i="12"/>
  <c r="I46" i="12"/>
  <c r="I42" i="12"/>
  <c r="I38" i="12"/>
  <c r="I34" i="12"/>
  <c r="I30" i="12"/>
  <c r="I26" i="12"/>
  <c r="I22" i="12"/>
  <c r="I53" i="12"/>
  <c r="I49" i="12"/>
  <c r="I45" i="12"/>
  <c r="I41" i="12"/>
  <c r="I37" i="12"/>
  <c r="I33" i="12"/>
  <c r="I29" i="12"/>
  <c r="I25" i="12"/>
  <c r="I21" i="12"/>
  <c r="I52" i="12"/>
  <c r="I48" i="12"/>
  <c r="I44" i="12"/>
  <c r="I40" i="12"/>
  <c r="I36" i="12"/>
  <c r="I32" i="12"/>
  <c r="I28" i="12"/>
  <c r="I24" i="12"/>
  <c r="I20" i="12"/>
  <c r="AT52" i="9"/>
  <c r="I18" i="12"/>
  <c r="G16" i="12"/>
  <c r="J16" i="12"/>
  <c r="F51" i="12"/>
  <c r="J51" i="12"/>
  <c r="F47" i="12"/>
  <c r="J47" i="12"/>
  <c r="F43" i="12"/>
  <c r="J43" i="12"/>
  <c r="F39" i="12"/>
  <c r="J39" i="12"/>
  <c r="G35" i="12"/>
  <c r="J35" i="12"/>
  <c r="G31" i="12"/>
  <c r="J31" i="12"/>
  <c r="G27" i="12"/>
  <c r="J27" i="12"/>
  <c r="F23" i="12"/>
  <c r="J23" i="12"/>
  <c r="F19" i="12"/>
  <c r="F15" i="12"/>
  <c r="F50" i="12"/>
  <c r="J50" i="12"/>
  <c r="F46" i="12"/>
  <c r="J46" i="12"/>
  <c r="F42" i="12"/>
  <c r="J42" i="12"/>
  <c r="F38" i="12"/>
  <c r="J38" i="12"/>
  <c r="G34" i="12"/>
  <c r="J34" i="12"/>
  <c r="G30" i="12"/>
  <c r="J30" i="12"/>
  <c r="G26" i="12"/>
  <c r="J26" i="12"/>
  <c r="G22" i="12"/>
  <c r="J22" i="12"/>
  <c r="G18" i="12"/>
  <c r="J18" i="12"/>
  <c r="F53" i="12"/>
  <c r="J53" i="12"/>
  <c r="F49" i="12"/>
  <c r="J49" i="12"/>
  <c r="F45" i="12"/>
  <c r="J45" i="12"/>
  <c r="F41" i="12"/>
  <c r="J41" i="12"/>
  <c r="G37" i="12"/>
  <c r="J37" i="12"/>
  <c r="G33" i="12"/>
  <c r="J33" i="12"/>
  <c r="G29" i="12"/>
  <c r="J29" i="12"/>
  <c r="F25" i="12"/>
  <c r="J25" i="12"/>
  <c r="F21" i="12"/>
  <c r="J21" i="12"/>
  <c r="F17" i="12"/>
  <c r="F14" i="12"/>
  <c r="F52" i="12"/>
  <c r="J52" i="12"/>
  <c r="F48" i="12"/>
  <c r="J48" i="12"/>
  <c r="F44" i="12"/>
  <c r="J44" i="12"/>
  <c r="F40" i="12"/>
  <c r="J40" i="12"/>
  <c r="G36" i="12"/>
  <c r="J36" i="12"/>
  <c r="G32" i="12"/>
  <c r="J32" i="12"/>
  <c r="G28" i="12"/>
  <c r="J28" i="12"/>
  <c r="G24" i="12"/>
  <c r="J24" i="12"/>
  <c r="F20" i="12"/>
  <c r="J20" i="12"/>
  <c r="AV14" i="12"/>
  <c r="AV16" i="12"/>
  <c r="D17" i="12"/>
  <c r="H17" i="12"/>
  <c r="AR29" i="12"/>
  <c r="AS29" i="12"/>
  <c r="AR25" i="12"/>
  <c r="AS25" i="12"/>
  <c r="AR21" i="12"/>
  <c r="AS21" i="12"/>
  <c r="F12" i="6"/>
  <c r="AR17" i="12"/>
  <c r="AS17" i="12"/>
  <c r="F8" i="6"/>
  <c r="AV15" i="12"/>
  <c r="V40" i="12"/>
  <c r="G21" i="12"/>
  <c r="BE24" i="9"/>
  <c r="BF24" i="9"/>
  <c r="AS52" i="9"/>
  <c r="BF29" i="9"/>
  <c r="F24" i="12"/>
  <c r="AR24" i="12"/>
  <c r="AS24" i="12"/>
  <c r="G17" i="12"/>
  <c r="G25" i="12"/>
  <c r="Y52" i="12"/>
  <c r="Z52" i="12"/>
  <c r="AC52" i="12"/>
  <c r="Y44" i="12"/>
  <c r="Z44" i="12"/>
  <c r="AC44" i="12"/>
  <c r="Y40" i="12"/>
  <c r="Z40" i="12"/>
  <c r="AC40" i="12"/>
  <c r="AI52" i="12"/>
  <c r="AI44" i="12"/>
  <c r="AI40" i="12"/>
  <c r="AR52" i="12"/>
  <c r="AS52" i="12"/>
  <c r="AR48" i="12"/>
  <c r="AS48" i="12"/>
  <c r="AR44" i="12"/>
  <c r="AS44" i="12"/>
  <c r="AR40" i="12"/>
  <c r="AS40" i="12"/>
  <c r="AR36" i="12"/>
  <c r="AS36" i="12"/>
  <c r="AR32" i="12"/>
  <c r="AS32" i="12"/>
  <c r="AR28" i="12"/>
  <c r="AS28" i="12"/>
  <c r="Y48" i="12"/>
  <c r="Z48" i="12"/>
  <c r="AC48" i="12"/>
  <c r="V21" i="12"/>
  <c r="AR20" i="12"/>
  <c r="AS20" i="12"/>
  <c r="F11" i="6"/>
  <c r="F30" i="12"/>
  <c r="F18" i="12"/>
  <c r="F26" i="12"/>
  <c r="AR14" i="12"/>
  <c r="F28" i="12"/>
  <c r="AR16" i="12"/>
  <c r="AS16" i="12"/>
  <c r="F7" i="6"/>
  <c r="G20" i="12"/>
  <c r="F35" i="12"/>
  <c r="AD8" i="9"/>
  <c r="Y53" i="12"/>
  <c r="Z53" i="12"/>
  <c r="AC53" i="12"/>
  <c r="Y45" i="12"/>
  <c r="Z45" i="12"/>
  <c r="AC45" i="12"/>
  <c r="Y37" i="12"/>
  <c r="Z37" i="12"/>
  <c r="AC37" i="12"/>
  <c r="Y29" i="12"/>
  <c r="Z29" i="12"/>
  <c r="AC29" i="12"/>
  <c r="AR19" i="12"/>
  <c r="AS19" i="12"/>
  <c r="F10" i="6"/>
  <c r="G23" i="12"/>
  <c r="F31" i="12"/>
  <c r="F36" i="12"/>
  <c r="AR27" i="12"/>
  <c r="AS27" i="12"/>
  <c r="AR22" i="12"/>
  <c r="AS22" i="12"/>
  <c r="F13" i="6"/>
  <c r="AR18" i="12"/>
  <c r="AS18" i="12"/>
  <c r="F9" i="6"/>
  <c r="AR15" i="12"/>
  <c r="AS15" i="12"/>
  <c r="F6" i="6"/>
  <c r="AI48" i="12"/>
  <c r="Y49" i="12"/>
  <c r="Z49" i="12"/>
  <c r="AC49" i="12"/>
  <c r="Y41" i="12"/>
  <c r="Z41" i="12"/>
  <c r="AC41" i="12"/>
  <c r="Y33" i="12"/>
  <c r="Z33" i="12"/>
  <c r="AC33" i="12"/>
  <c r="Y25" i="12"/>
  <c r="Z25" i="12"/>
  <c r="AC25" i="12"/>
  <c r="G19" i="12"/>
  <c r="F27" i="12"/>
  <c r="F32" i="12"/>
  <c r="Y50" i="12"/>
  <c r="Z50" i="12"/>
  <c r="AC50" i="12"/>
  <c r="Y46" i="12"/>
  <c r="Z46" i="12"/>
  <c r="AC46" i="12"/>
  <c r="Y42" i="12"/>
  <c r="Z42" i="12"/>
  <c r="AC42" i="12"/>
  <c r="Y38" i="12"/>
  <c r="Z38" i="12"/>
  <c r="AC38" i="12"/>
  <c r="AX38" i="12"/>
  <c r="AR23" i="12"/>
  <c r="AS23" i="12"/>
  <c r="F14" i="6"/>
  <c r="BF33" i="9"/>
  <c r="AZ24" i="9"/>
  <c r="BG24" i="9"/>
  <c r="BH24" i="9"/>
  <c r="AY33" i="9"/>
  <c r="AZ33" i="9"/>
  <c r="F29" i="12"/>
  <c r="F33" i="12"/>
  <c r="F37" i="12"/>
  <c r="V42" i="12"/>
  <c r="V50" i="12"/>
  <c r="AI38" i="12"/>
  <c r="AI46" i="12"/>
  <c r="Y51" i="12"/>
  <c r="Z51" i="12"/>
  <c r="AC51" i="12"/>
  <c r="Y47" i="12"/>
  <c r="Z47" i="12"/>
  <c r="AC47" i="12"/>
  <c r="Y43" i="12"/>
  <c r="Z43" i="12"/>
  <c r="AC43" i="12"/>
  <c r="Y39" i="12"/>
  <c r="Z39" i="12"/>
  <c r="AC39" i="12"/>
  <c r="Y35" i="12"/>
  <c r="Z35" i="12"/>
  <c r="AC35" i="12"/>
  <c r="Y31" i="12"/>
  <c r="Z31" i="12"/>
  <c r="AC31" i="12"/>
  <c r="Y27" i="12"/>
  <c r="Z27" i="12"/>
  <c r="AC27" i="12"/>
  <c r="F22" i="12"/>
  <c r="AR50" i="12"/>
  <c r="AS50" i="12"/>
  <c r="AR46" i="12"/>
  <c r="AS46" i="12"/>
  <c r="AR42" i="12"/>
  <c r="AS42" i="12"/>
  <c r="AR38" i="12"/>
  <c r="AS38" i="12"/>
  <c r="AR34" i="12"/>
  <c r="AS34" i="12"/>
  <c r="AR30" i="12"/>
  <c r="AS30" i="12"/>
  <c r="AR26" i="12"/>
  <c r="AS26" i="12"/>
  <c r="G14" i="12"/>
  <c r="V38" i="12"/>
  <c r="V46" i="12"/>
  <c r="AI42" i="12"/>
  <c r="AI50" i="12"/>
  <c r="D14" i="12"/>
  <c r="H14" i="12"/>
  <c r="D15" i="12"/>
  <c r="G53" i="12"/>
  <c r="AS51" i="9"/>
  <c r="AY29" i="9"/>
  <c r="AZ29" i="9"/>
  <c r="G41" i="12"/>
  <c r="G49" i="12"/>
  <c r="F16" i="12"/>
  <c r="V34" i="12"/>
  <c r="V20" i="12"/>
  <c r="Y36" i="12"/>
  <c r="Z36" i="12"/>
  <c r="AC36" i="12"/>
  <c r="Y34" i="12"/>
  <c r="Z34" i="12"/>
  <c r="AC34" i="12"/>
  <c r="Y32" i="12"/>
  <c r="Z32" i="12"/>
  <c r="AC32" i="12"/>
  <c r="Y30" i="12"/>
  <c r="Z30" i="12"/>
  <c r="AC30" i="12"/>
  <c r="Y28" i="12"/>
  <c r="Z28" i="12"/>
  <c r="AC28" i="12"/>
  <c r="Y26" i="12"/>
  <c r="Z26" i="12"/>
  <c r="AC26" i="12"/>
  <c r="Y24" i="12"/>
  <c r="Z24" i="12"/>
  <c r="AC24" i="12"/>
  <c r="AU36" i="12"/>
  <c r="AX36" i="12"/>
  <c r="AU34" i="12"/>
  <c r="AX34" i="12"/>
  <c r="AU32" i="12"/>
  <c r="AX32" i="12"/>
  <c r="G39" i="12"/>
  <c r="G43" i="12"/>
  <c r="G47" i="12"/>
  <c r="G51" i="12"/>
  <c r="V23" i="12"/>
  <c r="V25" i="12"/>
  <c r="V27" i="12"/>
  <c r="V29" i="12"/>
  <c r="V31" i="12"/>
  <c r="V33" i="12"/>
  <c r="V35" i="12"/>
  <c r="V37" i="12"/>
  <c r="V39" i="12"/>
  <c r="V41" i="12"/>
  <c r="V43" i="12"/>
  <c r="V45" i="12"/>
  <c r="V47" i="12"/>
  <c r="V49" i="12"/>
  <c r="V51" i="12"/>
  <c r="V53" i="12"/>
  <c r="AI39" i="12"/>
  <c r="AI41" i="12"/>
  <c r="AI43" i="12"/>
  <c r="AI45" i="12"/>
  <c r="AI47" i="12"/>
  <c r="AI49" i="12"/>
  <c r="AI51" i="12"/>
  <c r="AI53" i="12"/>
  <c r="AX53" i="12"/>
  <c r="AX51" i="12"/>
  <c r="AX49" i="12"/>
  <c r="AX47" i="12"/>
  <c r="AX45" i="12"/>
  <c r="AX43" i="12"/>
  <c r="AX41" i="12"/>
  <c r="AX39" i="12"/>
  <c r="AR53" i="12"/>
  <c r="AS53" i="12"/>
  <c r="AR51" i="12"/>
  <c r="AS51" i="12"/>
  <c r="AR49" i="12"/>
  <c r="AS49" i="12"/>
  <c r="AR47" i="12"/>
  <c r="AS47" i="12"/>
  <c r="AR45" i="12"/>
  <c r="AS45" i="12"/>
  <c r="AR43" i="12"/>
  <c r="AS43" i="12"/>
  <c r="AR41" i="12"/>
  <c r="AS41" i="12"/>
  <c r="AR39" i="12"/>
  <c r="AS39" i="12"/>
  <c r="AR37" i="12"/>
  <c r="AS37" i="12"/>
  <c r="AR35" i="12"/>
  <c r="AS35" i="12"/>
  <c r="AR33" i="12"/>
  <c r="AS33" i="12"/>
  <c r="AR31" i="12"/>
  <c r="AS31" i="12"/>
  <c r="AX52" i="12"/>
  <c r="AX50" i="12"/>
  <c r="AX48" i="12"/>
  <c r="AX46" i="12"/>
  <c r="AX44" i="12"/>
  <c r="AX42" i="12"/>
  <c r="AX40" i="12"/>
  <c r="G38" i="12"/>
  <c r="G40" i="12"/>
  <c r="G42" i="12"/>
  <c r="G44" i="12"/>
  <c r="G46" i="12"/>
  <c r="G48" i="12"/>
  <c r="G50" i="12"/>
  <c r="G52" i="12"/>
  <c r="G15" i="12"/>
  <c r="BG16" i="9"/>
  <c r="AO10" i="9"/>
  <c r="AO9" i="9"/>
  <c r="BH16" i="9"/>
  <c r="F9" i="5"/>
  <c r="BE16" i="9"/>
  <c r="BF16" i="9"/>
  <c r="F8" i="5"/>
  <c r="AZ16" i="9"/>
  <c r="F5" i="5"/>
  <c r="AH6" i="9"/>
  <c r="AT51" i="9"/>
  <c r="N30" i="12"/>
  <c r="N46" i="12"/>
  <c r="J19" i="12"/>
  <c r="I19" i="12"/>
  <c r="I16" i="12"/>
  <c r="N16" i="12"/>
  <c r="O16" i="12"/>
  <c r="P16" i="12"/>
  <c r="N22" i="12"/>
  <c r="N38" i="12"/>
  <c r="O38" i="12"/>
  <c r="P38" i="12"/>
  <c r="Q38" i="12"/>
  <c r="BG22" i="9"/>
  <c r="N34" i="12"/>
  <c r="O34" i="12"/>
  <c r="P34" i="12"/>
  <c r="Q34" i="12"/>
  <c r="N50" i="12"/>
  <c r="O50" i="12"/>
  <c r="P50" i="12"/>
  <c r="Q50" i="12"/>
  <c r="N48" i="12"/>
  <c r="O48" i="12"/>
  <c r="P48" i="12"/>
  <c r="Q48" i="12"/>
  <c r="N29" i="12"/>
  <c r="O29" i="12"/>
  <c r="P29" i="12"/>
  <c r="Q29" i="12"/>
  <c r="N45" i="12"/>
  <c r="O45" i="12"/>
  <c r="P45" i="12"/>
  <c r="Q45" i="12"/>
  <c r="N27" i="12"/>
  <c r="O27" i="12"/>
  <c r="P27" i="12"/>
  <c r="Q27" i="12"/>
  <c r="N43" i="12"/>
  <c r="O43" i="12"/>
  <c r="P43" i="12"/>
  <c r="Q43" i="12"/>
  <c r="X26" i="12"/>
  <c r="V26" i="12"/>
  <c r="X18" i="12"/>
  <c r="V18" i="12"/>
  <c r="U19" i="12"/>
  <c r="V19" i="12"/>
  <c r="X30" i="12"/>
  <c r="V30" i="12"/>
  <c r="U48" i="12"/>
  <c r="V48" i="12"/>
  <c r="AU28" i="12"/>
  <c r="AX28" i="12"/>
  <c r="V28" i="12"/>
  <c r="X22" i="12"/>
  <c r="V22" i="12"/>
  <c r="X14" i="12"/>
  <c r="V14" i="12"/>
  <c r="U15" i="12"/>
  <c r="V15" i="12"/>
  <c r="U44" i="12"/>
  <c r="V44" i="12"/>
  <c r="U24" i="12"/>
  <c r="V24" i="12"/>
  <c r="X32" i="12"/>
  <c r="V32" i="12"/>
  <c r="N32" i="12"/>
  <c r="O32" i="12"/>
  <c r="P32" i="12"/>
  <c r="Q32" i="12"/>
  <c r="N20" i="12"/>
  <c r="N36" i="12"/>
  <c r="O36" i="12"/>
  <c r="P36" i="12"/>
  <c r="Q36" i="12"/>
  <c r="N52" i="12"/>
  <c r="O52" i="12"/>
  <c r="P52" i="12"/>
  <c r="Q52" i="12"/>
  <c r="N33" i="12"/>
  <c r="O33" i="12"/>
  <c r="P33" i="12"/>
  <c r="Q33" i="12"/>
  <c r="N49" i="12"/>
  <c r="O49" i="12"/>
  <c r="P49" i="12"/>
  <c r="Q49" i="12"/>
  <c r="N31" i="12"/>
  <c r="O31" i="12"/>
  <c r="P31" i="12"/>
  <c r="Q31" i="12"/>
  <c r="N47" i="12"/>
  <c r="O47" i="12"/>
  <c r="P47" i="12"/>
  <c r="Q47" i="12"/>
  <c r="N24" i="12"/>
  <c r="O24" i="12"/>
  <c r="P24" i="12"/>
  <c r="Q24" i="12"/>
  <c r="N40" i="12"/>
  <c r="O40" i="12"/>
  <c r="P40" i="12"/>
  <c r="Q40" i="12"/>
  <c r="N21" i="12"/>
  <c r="O21" i="12"/>
  <c r="P21" i="12"/>
  <c r="N37" i="12"/>
  <c r="O37" i="12"/>
  <c r="P37" i="12"/>
  <c r="Q37" i="12"/>
  <c r="N53" i="12"/>
  <c r="O53" i="12"/>
  <c r="P53" i="12"/>
  <c r="Q53" i="12"/>
  <c r="N35" i="12"/>
  <c r="O35" i="12"/>
  <c r="P35" i="12"/>
  <c r="Q35" i="12"/>
  <c r="N51" i="12"/>
  <c r="O51" i="12"/>
  <c r="P51" i="12"/>
  <c r="Q51" i="12"/>
  <c r="N26" i="12"/>
  <c r="O26" i="12"/>
  <c r="P26" i="12"/>
  <c r="Q26" i="12"/>
  <c r="N42" i="12"/>
  <c r="O42" i="12"/>
  <c r="P42" i="12"/>
  <c r="Q42" i="12"/>
  <c r="N18" i="12"/>
  <c r="N28" i="12"/>
  <c r="O28" i="12"/>
  <c r="P28" i="12"/>
  <c r="Q28" i="12"/>
  <c r="N44" i="12"/>
  <c r="O44" i="12"/>
  <c r="P44" i="12"/>
  <c r="Q44" i="12"/>
  <c r="N25" i="12"/>
  <c r="O25" i="12"/>
  <c r="P25" i="12"/>
  <c r="Q25" i="12"/>
  <c r="N41" i="12"/>
  <c r="O41" i="12"/>
  <c r="P41" i="12"/>
  <c r="Q41" i="12"/>
  <c r="N23" i="12"/>
  <c r="N39" i="12"/>
  <c r="O39" i="12"/>
  <c r="P39" i="12"/>
  <c r="Q39" i="12"/>
  <c r="K15" i="12"/>
  <c r="K14" i="12"/>
  <c r="AN9" i="9"/>
  <c r="J15" i="12"/>
  <c r="I15" i="12"/>
  <c r="J14" i="12"/>
  <c r="I14" i="12"/>
  <c r="J17" i="12"/>
  <c r="I17" i="12"/>
  <c r="BG31" i="9"/>
  <c r="BH31" i="9"/>
  <c r="AZ22" i="9"/>
  <c r="AA38" i="12"/>
  <c r="AB40" i="12"/>
  <c r="AA44" i="12"/>
  <c r="BE22" i="9"/>
  <c r="BF22" i="9"/>
  <c r="AB38" i="12"/>
  <c r="AU30" i="12"/>
  <c r="AX30" i="12"/>
  <c r="AB48" i="12"/>
  <c r="AA53" i="12"/>
  <c r="AB27" i="12"/>
  <c r="AI27" i="12"/>
  <c r="U20" i="12"/>
  <c r="AG20" i="12"/>
  <c r="G11" i="6"/>
  <c r="X20" i="12"/>
  <c r="U40" i="12"/>
  <c r="AG40" i="12"/>
  <c r="X40" i="12"/>
  <c r="AA39" i="12"/>
  <c r="U18" i="12"/>
  <c r="X24" i="12"/>
  <c r="AB44" i="12"/>
  <c r="AA40" i="12"/>
  <c r="U21" i="12"/>
  <c r="AG21" i="12"/>
  <c r="G12" i="6"/>
  <c r="AB53" i="12"/>
  <c r="BG29" i="9"/>
  <c r="BG33" i="9"/>
  <c r="BH33" i="9"/>
  <c r="AB41" i="12"/>
  <c r="AA36" i="12"/>
  <c r="AA48" i="12"/>
  <c r="O46" i="12"/>
  <c r="P46" i="12"/>
  <c r="Q46" i="12"/>
  <c r="U32" i="12"/>
  <c r="AA50" i="12"/>
  <c r="AA41" i="12"/>
  <c r="AB50" i="12"/>
  <c r="AB30" i="12"/>
  <c r="AI30" i="12"/>
  <c r="AB52" i="12"/>
  <c r="U26" i="12"/>
  <c r="X21" i="12"/>
  <c r="X36" i="12"/>
  <c r="AA52" i="12"/>
  <c r="U28" i="12"/>
  <c r="AA30" i="12"/>
  <c r="U36" i="12"/>
  <c r="AG36" i="12"/>
  <c r="X28" i="12"/>
  <c r="AU24" i="12"/>
  <c r="AX24" i="12"/>
  <c r="AA35" i="12"/>
  <c r="AA45" i="12"/>
  <c r="AA51" i="12"/>
  <c r="AB51" i="12"/>
  <c r="O30" i="12"/>
  <c r="P30" i="12"/>
  <c r="Q30" i="12"/>
  <c r="AB46" i="12"/>
  <c r="AA31" i="12"/>
  <c r="AB24" i="12"/>
  <c r="AI24" i="12"/>
  <c r="AA24" i="12"/>
  <c r="AA32" i="12"/>
  <c r="AB35" i="12"/>
  <c r="AI35" i="12"/>
  <c r="AA33" i="12"/>
  <c r="AB45" i="12"/>
  <c r="AA27" i="12"/>
  <c r="AB33" i="12"/>
  <c r="AI33" i="12"/>
  <c r="AA43" i="12"/>
  <c r="AA47" i="12"/>
  <c r="AB28" i="12"/>
  <c r="AI28" i="12"/>
  <c r="AA34" i="12"/>
  <c r="U30" i="12"/>
  <c r="X19" i="12"/>
  <c r="X17" i="12"/>
  <c r="AB36" i="12"/>
  <c r="AI36" i="12"/>
  <c r="AU26" i="12"/>
  <c r="AX26" i="12"/>
  <c r="AB31" i="12"/>
  <c r="AI31" i="12"/>
  <c r="AB43" i="12"/>
  <c r="AB47" i="12"/>
  <c r="AA28" i="12"/>
  <c r="AA42" i="12"/>
  <c r="AA46" i="12"/>
  <c r="U17" i="12"/>
  <c r="AG17" i="12"/>
  <c r="G8" i="6"/>
  <c r="U14" i="12"/>
  <c r="X52" i="12"/>
  <c r="AB39" i="12"/>
  <c r="AA25" i="12"/>
  <c r="AA29" i="12"/>
  <c r="AB37" i="12"/>
  <c r="AI37" i="12"/>
  <c r="AB49" i="12"/>
  <c r="AB26" i="12"/>
  <c r="AI26" i="12"/>
  <c r="X48" i="12"/>
  <c r="X44" i="12"/>
  <c r="AB42" i="12"/>
  <c r="AB25" i="12"/>
  <c r="AI25" i="12"/>
  <c r="AB29" i="12"/>
  <c r="AI29" i="12"/>
  <c r="AA37" i="12"/>
  <c r="AA49" i="12"/>
  <c r="AB32" i="12"/>
  <c r="AI32" i="12"/>
  <c r="U52" i="12"/>
  <c r="AD34" i="9"/>
  <c r="AN10" i="9"/>
  <c r="AD33" i="9"/>
  <c r="AH9" i="9"/>
  <c r="AH13" i="9"/>
  <c r="AH17" i="9"/>
  <c r="AH18" i="9"/>
  <c r="U46" i="12"/>
  <c r="X46" i="12"/>
  <c r="X15" i="12"/>
  <c r="U42" i="12"/>
  <c r="X42" i="12"/>
  <c r="AA26" i="12"/>
  <c r="AB34" i="12"/>
  <c r="AI34" i="12"/>
  <c r="U50" i="12"/>
  <c r="X50" i="12"/>
  <c r="U38" i="12"/>
  <c r="X38" i="12"/>
  <c r="U22" i="12"/>
  <c r="Y19" i="12"/>
  <c r="Z19" i="12"/>
  <c r="Y21" i="12"/>
  <c r="Z21" i="12"/>
  <c r="BH22" i="9"/>
  <c r="U34" i="12"/>
  <c r="AG34" i="12"/>
  <c r="X34" i="12"/>
  <c r="X51" i="12"/>
  <c r="U51" i="12"/>
  <c r="X47" i="12"/>
  <c r="U47" i="12"/>
  <c r="X43" i="12"/>
  <c r="U43" i="12"/>
  <c r="X39" i="12"/>
  <c r="U39" i="12"/>
  <c r="X35" i="12"/>
  <c r="U35" i="12"/>
  <c r="AU35" i="12"/>
  <c r="AX35" i="12"/>
  <c r="AU31" i="12"/>
  <c r="AX31" i="12"/>
  <c r="U31" i="12"/>
  <c r="X31" i="12"/>
  <c r="AU27" i="12"/>
  <c r="AX27" i="12"/>
  <c r="U27" i="12"/>
  <c r="X27" i="12"/>
  <c r="U23" i="12"/>
  <c r="X23" i="12"/>
  <c r="X53" i="12"/>
  <c r="U53" i="12"/>
  <c r="X49" i="12"/>
  <c r="U49" i="12"/>
  <c r="X45" i="12"/>
  <c r="U45" i="12"/>
  <c r="X41" i="12"/>
  <c r="U41" i="12"/>
  <c r="AU37" i="12"/>
  <c r="AX37" i="12"/>
  <c r="X37" i="12"/>
  <c r="U37" i="12"/>
  <c r="AU33" i="12"/>
  <c r="AX33" i="12"/>
  <c r="X33" i="12"/>
  <c r="U33" i="12"/>
  <c r="AU29" i="12"/>
  <c r="AX29" i="12"/>
  <c r="U29" i="12"/>
  <c r="X29" i="12"/>
  <c r="AU25" i="12"/>
  <c r="AX25" i="12"/>
  <c r="U25" i="12"/>
  <c r="X25" i="12"/>
  <c r="X16" i="12"/>
  <c r="U16" i="12"/>
  <c r="N19" i="12"/>
  <c r="O19" i="12"/>
  <c r="P19" i="12"/>
  <c r="D24" i="6"/>
  <c r="E24" i="6"/>
  <c r="AG15" i="12"/>
  <c r="G6" i="6"/>
  <c r="AG19" i="12"/>
  <c r="G10" i="6"/>
  <c r="E22" i="5"/>
  <c r="F22" i="5"/>
  <c r="B22" i="5"/>
  <c r="D22" i="5"/>
  <c r="AZ31" i="9"/>
  <c r="BE31" i="9"/>
  <c r="BF31" i="9"/>
  <c r="AD9" i="9"/>
  <c r="AD13" i="9"/>
  <c r="AD17" i="9"/>
  <c r="AE9" i="9"/>
  <c r="AE13" i="9"/>
  <c r="AE17" i="9"/>
  <c r="AE18" i="9"/>
  <c r="AF9" i="9"/>
  <c r="AF13" i="9"/>
  <c r="AF17" i="9"/>
  <c r="AF18" i="9"/>
  <c r="AG9" i="9"/>
  <c r="AG13" i="9"/>
  <c r="AG48" i="12"/>
  <c r="D21" i="6"/>
  <c r="E21" i="6"/>
  <c r="B21" i="6"/>
  <c r="C21" i="6"/>
  <c r="AG22" i="12"/>
  <c r="G13" i="6"/>
  <c r="B26" i="6"/>
  <c r="C26" i="6"/>
  <c r="D26" i="6"/>
  <c r="E26" i="6"/>
  <c r="AG44" i="12"/>
  <c r="AG28" i="12"/>
  <c r="N14" i="12"/>
  <c r="O14" i="12"/>
  <c r="P14" i="12"/>
  <c r="N17" i="12"/>
  <c r="O17" i="12"/>
  <c r="P17" i="12"/>
  <c r="N15" i="12"/>
  <c r="O15" i="12"/>
  <c r="P15" i="12"/>
  <c r="BG27" i="9"/>
  <c r="BH27" i="9"/>
  <c r="BG28" i="9"/>
  <c r="BH28" i="9"/>
  <c r="BE27" i="9"/>
  <c r="BF27" i="9"/>
  <c r="BE28" i="9"/>
  <c r="BF28" i="9"/>
  <c r="AT48" i="9"/>
  <c r="AT55" i="9"/>
  <c r="AT56" i="9"/>
  <c r="AS53" i="9"/>
  <c r="AS55" i="9"/>
  <c r="AS56" i="9"/>
  <c r="AK19" i="9"/>
  <c r="AM19" i="9"/>
  <c r="AG32" i="12"/>
  <c r="AG30" i="12"/>
  <c r="AG18" i="12"/>
  <c r="G9" i="6"/>
  <c r="Y16" i="12"/>
  <c r="Z16" i="12"/>
  <c r="AA16" i="12"/>
  <c r="BH29" i="9"/>
  <c r="AK18" i="9"/>
  <c r="AM18" i="9"/>
  <c r="AN18" i="9"/>
  <c r="AG24" i="12"/>
  <c r="AG42" i="12"/>
  <c r="AG52" i="12"/>
  <c r="AG26" i="12"/>
  <c r="AG50" i="12"/>
  <c r="AG14" i="12"/>
  <c r="G5" i="6"/>
  <c r="AT45" i="9"/>
  <c r="BG21" i="9"/>
  <c r="BH21" i="9"/>
  <c r="AY41" i="9"/>
  <c r="AT49" i="9"/>
  <c r="AT46" i="9"/>
  <c r="BG26" i="9"/>
  <c r="BH26" i="9"/>
  <c r="AT54" i="9"/>
  <c r="AT50" i="9"/>
  <c r="BG23" i="9"/>
  <c r="BH23" i="9"/>
  <c r="AT47" i="9"/>
  <c r="AO26" i="9"/>
  <c r="G9" i="5"/>
  <c r="AT53" i="9"/>
  <c r="BG32" i="9"/>
  <c r="BH32" i="9"/>
  <c r="BE21" i="9"/>
  <c r="BF21" i="9"/>
  <c r="AS47" i="9"/>
  <c r="AS45" i="9"/>
  <c r="AS50" i="9"/>
  <c r="AS49" i="9"/>
  <c r="AS54" i="9"/>
  <c r="AS48" i="9"/>
  <c r="BE32" i="9"/>
  <c r="BF32" i="9"/>
  <c r="BE23" i="9"/>
  <c r="BF23" i="9"/>
  <c r="BE26" i="9"/>
  <c r="BF26" i="9"/>
  <c r="AO25" i="9"/>
  <c r="G8" i="5"/>
  <c r="AS46" i="9"/>
  <c r="AG38" i="12"/>
  <c r="AG46" i="12"/>
  <c r="O23" i="12"/>
  <c r="P23" i="12"/>
  <c r="Y23" i="12"/>
  <c r="Z23" i="12"/>
  <c r="O18" i="12"/>
  <c r="P18" i="12"/>
  <c r="Y18" i="12"/>
  <c r="Z18" i="12"/>
  <c r="Y17" i="12"/>
  <c r="Z17" i="12"/>
  <c r="O22" i="12"/>
  <c r="P22" i="12"/>
  <c r="Y22" i="12"/>
  <c r="Z22" i="12"/>
  <c r="O20" i="12"/>
  <c r="P20" i="12"/>
  <c r="Y20" i="12"/>
  <c r="Z20" i="12"/>
  <c r="AC21" i="12"/>
  <c r="AB21" i="12"/>
  <c r="AI21" i="12"/>
  <c r="H12" i="6"/>
  <c r="AA21" i="12"/>
  <c r="AC19" i="12"/>
  <c r="AB19" i="12"/>
  <c r="AI19" i="12"/>
  <c r="H10" i="6"/>
  <c r="AA19" i="12"/>
  <c r="AG25" i="12"/>
  <c r="AG23" i="12"/>
  <c r="G14" i="6"/>
  <c r="AG31" i="12"/>
  <c r="AG29" i="12"/>
  <c r="AG37" i="12"/>
  <c r="AG45" i="12"/>
  <c r="AG53" i="12"/>
  <c r="AG27" i="12"/>
  <c r="AG35" i="12"/>
  <c r="AG43" i="12"/>
  <c r="AG51" i="12"/>
  <c r="AG33" i="12"/>
  <c r="AG41" i="12"/>
  <c r="AG49" i="12"/>
  <c r="AG39" i="12"/>
  <c r="AG47" i="12"/>
  <c r="AG16" i="12"/>
  <c r="G7" i="6"/>
  <c r="B24" i="6"/>
  <c r="C24" i="6"/>
  <c r="AD18" i="9"/>
  <c r="E14" i="5"/>
  <c r="AY40" i="9"/>
  <c r="E8" i="5"/>
  <c r="AK16" i="9"/>
  <c r="AM16" i="9"/>
  <c r="AN16" i="9"/>
  <c r="B16" i="5"/>
  <c r="D16" i="5"/>
  <c r="E16" i="5"/>
  <c r="F16" i="5"/>
  <c r="B18" i="5"/>
  <c r="D18" i="5"/>
  <c r="E18" i="5"/>
  <c r="F18" i="5"/>
  <c r="E9" i="5"/>
  <c r="AO6" i="9"/>
  <c r="B22" i="6"/>
  <c r="C22" i="6"/>
  <c r="D22" i="6"/>
  <c r="E22" i="6"/>
  <c r="D19" i="6"/>
  <c r="E19" i="6"/>
  <c r="B19" i="6"/>
  <c r="C19" i="6"/>
  <c r="D20" i="6"/>
  <c r="E20" i="6"/>
  <c r="B20" i="6"/>
  <c r="C20" i="6"/>
  <c r="B25" i="6"/>
  <c r="C25" i="6"/>
  <c r="D25" i="6"/>
  <c r="E25" i="6"/>
  <c r="D28" i="6"/>
  <c r="E28" i="6"/>
  <c r="B28" i="6"/>
  <c r="C28" i="6"/>
  <c r="D27" i="6"/>
  <c r="E27" i="6"/>
  <c r="B27" i="6"/>
  <c r="C27" i="6"/>
  <c r="B23" i="6"/>
  <c r="C23" i="6"/>
  <c r="D23" i="6"/>
  <c r="E23" i="6"/>
  <c r="Y15" i="12"/>
  <c r="Z15" i="12"/>
  <c r="AC15" i="12"/>
  <c r="AO19" i="9"/>
  <c r="AN19" i="9"/>
  <c r="Y14" i="12"/>
  <c r="Z14" i="12"/>
  <c r="AA14" i="12"/>
  <c r="AS14" i="12"/>
  <c r="F5" i="6"/>
  <c r="AB16" i="12"/>
  <c r="AO18" i="9"/>
  <c r="BE30" i="9"/>
  <c r="BF30" i="9"/>
  <c r="AC16" i="12"/>
  <c r="AU19" i="12"/>
  <c r="AX19" i="12"/>
  <c r="E10" i="6"/>
  <c r="AL19" i="12"/>
  <c r="Q19" i="12"/>
  <c r="D10" i="6"/>
  <c r="AL21" i="12"/>
  <c r="Q21" i="12"/>
  <c r="D12" i="6"/>
  <c r="AU21" i="12"/>
  <c r="AX21" i="12"/>
  <c r="E12" i="6"/>
  <c r="AI16" i="12"/>
  <c r="H7" i="6"/>
  <c r="AL16" i="12"/>
  <c r="Q16" i="12"/>
  <c r="D7" i="6"/>
  <c r="AU16" i="12"/>
  <c r="AX16" i="12"/>
  <c r="E7" i="6"/>
  <c r="AC20" i="12"/>
  <c r="AB20" i="12"/>
  <c r="AI20" i="12"/>
  <c r="H11" i="6"/>
  <c r="AA20" i="12"/>
  <c r="AC22" i="12"/>
  <c r="AB22" i="12"/>
  <c r="AI22" i="12"/>
  <c r="H13" i="6"/>
  <c r="AA22" i="12"/>
  <c r="AC17" i="12"/>
  <c r="AB17" i="12"/>
  <c r="AI17" i="12"/>
  <c r="H8" i="6"/>
  <c r="AA17" i="12"/>
  <c r="AC18" i="12"/>
  <c r="AB18" i="12"/>
  <c r="AA18" i="12"/>
  <c r="AC23" i="12"/>
  <c r="AA23" i="12"/>
  <c r="AB23" i="12"/>
  <c r="AI23" i="12"/>
  <c r="H14" i="6"/>
  <c r="AC14" i="12"/>
  <c r="AO16" i="9"/>
  <c r="BA25" i="9"/>
  <c r="AO31" i="9"/>
  <c r="H7" i="5"/>
  <c r="AP45" i="9"/>
  <c r="AY21" i="9"/>
  <c r="AS22" i="9"/>
  <c r="AK15" i="9"/>
  <c r="AM15" i="9"/>
  <c r="AP53" i="9"/>
  <c r="AS29" i="9"/>
  <c r="AY28" i="9"/>
  <c r="AZ28" i="9"/>
  <c r="AP48" i="9"/>
  <c r="AP50" i="9"/>
  <c r="AY32" i="9"/>
  <c r="AZ32" i="9"/>
  <c r="AP56" i="9"/>
  <c r="AY26" i="9"/>
  <c r="AZ26" i="9"/>
  <c r="AP46" i="9"/>
  <c r="AY27" i="9"/>
  <c r="AZ27" i="9"/>
  <c r="AP47" i="9"/>
  <c r="AP54" i="9"/>
  <c r="AP55" i="9"/>
  <c r="AY23" i="9"/>
  <c r="AZ23" i="9"/>
  <c r="AP49" i="9"/>
  <c r="AB15" i="12"/>
  <c r="AU15" i="12"/>
  <c r="AX15" i="12"/>
  <c r="E6" i="6"/>
  <c r="AA15" i="12"/>
  <c r="AB14" i="12"/>
  <c r="AI14" i="12"/>
  <c r="H5" i="6"/>
  <c r="AH19" i="9"/>
  <c r="D9" i="5"/>
  <c r="AG17" i="9"/>
  <c r="AO32" i="9"/>
  <c r="H8" i="5"/>
  <c r="AT43" i="9"/>
  <c r="AT42" i="9"/>
  <c r="AO33" i="9"/>
  <c r="H9" i="5"/>
  <c r="AT44" i="9"/>
  <c r="BG25" i="9"/>
  <c r="AS44" i="9"/>
  <c r="BE25" i="9"/>
  <c r="BF25" i="9"/>
  <c r="BE34" i="9"/>
  <c r="BF34" i="9"/>
  <c r="AS43" i="9"/>
  <c r="AS42" i="9"/>
  <c r="AL15" i="12"/>
  <c r="Q15" i="12"/>
  <c r="D6" i="6"/>
  <c r="I7" i="6"/>
  <c r="K7" i="6"/>
  <c r="L7" i="6"/>
  <c r="AL23" i="12"/>
  <c r="Q23" i="12"/>
  <c r="D14" i="6"/>
  <c r="AU23" i="12"/>
  <c r="AX23" i="12"/>
  <c r="E14" i="6"/>
  <c r="AI18" i="12"/>
  <c r="H9" i="6"/>
  <c r="AU18" i="12"/>
  <c r="AX18" i="12"/>
  <c r="E9" i="6"/>
  <c r="AL18" i="12"/>
  <c r="Q18" i="12"/>
  <c r="D9" i="6"/>
  <c r="AL17" i="12"/>
  <c r="Q17" i="12"/>
  <c r="D8" i="6"/>
  <c r="AU17" i="12"/>
  <c r="AX17" i="12"/>
  <c r="E8" i="6"/>
  <c r="AU22" i="12"/>
  <c r="AX22" i="12"/>
  <c r="E13" i="6"/>
  <c r="AL22" i="12"/>
  <c r="Q22" i="12"/>
  <c r="D13" i="6"/>
  <c r="AU20" i="12"/>
  <c r="AX20" i="12"/>
  <c r="E11" i="6"/>
  <c r="AL20" i="12"/>
  <c r="Q20" i="12"/>
  <c r="D11" i="6"/>
  <c r="I12" i="6"/>
  <c r="K12" i="6"/>
  <c r="L12" i="6"/>
  <c r="I10" i="6"/>
  <c r="K10" i="6"/>
  <c r="L10" i="6"/>
  <c r="AQ42" i="9"/>
  <c r="AQ44" i="9"/>
  <c r="AQ43" i="9"/>
  <c r="BB25" i="9"/>
  <c r="BA30" i="9"/>
  <c r="AZ21" i="9"/>
  <c r="AG18" i="9"/>
  <c r="AF19" i="9"/>
  <c r="D7" i="5"/>
  <c r="I7" i="5"/>
  <c r="K7" i="5"/>
  <c r="L7" i="5"/>
  <c r="U7" i="5"/>
  <c r="AO22" i="9"/>
  <c r="G5" i="5"/>
  <c r="I9" i="5"/>
  <c r="B14" i="5"/>
  <c r="D14" i="5"/>
  <c r="F14" i="5"/>
  <c r="P12" i="6"/>
  <c r="U12" i="6"/>
  <c r="U10" i="6"/>
  <c r="P10" i="6"/>
  <c r="P7" i="6"/>
  <c r="U7" i="6"/>
  <c r="AI15" i="12"/>
  <c r="M12" i="6"/>
  <c r="O12" i="6"/>
  <c r="M7" i="6"/>
  <c r="O7" i="6"/>
  <c r="M10" i="6"/>
  <c r="O10" i="6"/>
  <c r="AL14" i="12"/>
  <c r="Q14" i="12"/>
  <c r="D5" i="6"/>
  <c r="AU14" i="12"/>
  <c r="AX14" i="12"/>
  <c r="E5" i="6"/>
  <c r="BH25" i="9"/>
  <c r="BG30" i="9"/>
  <c r="I11" i="6"/>
  <c r="K11" i="6"/>
  <c r="L11" i="6"/>
  <c r="I13" i="6"/>
  <c r="K13" i="6"/>
  <c r="L13" i="6"/>
  <c r="I8" i="6"/>
  <c r="K8" i="6"/>
  <c r="L8" i="6"/>
  <c r="I9" i="6"/>
  <c r="K9" i="6"/>
  <c r="L9" i="6"/>
  <c r="I14" i="6"/>
  <c r="K14" i="6"/>
  <c r="L14" i="6"/>
  <c r="AG19" i="9"/>
  <c r="D8" i="5"/>
  <c r="I8" i="5"/>
  <c r="K8" i="5"/>
  <c r="L8" i="5"/>
  <c r="U8" i="5"/>
  <c r="E20" i="5"/>
  <c r="F20" i="5"/>
  <c r="B20" i="5"/>
  <c r="D20" i="5"/>
  <c r="BA34" i="9"/>
  <c r="BB34" i="9"/>
  <c r="BB30" i="9"/>
  <c r="AY38" i="9"/>
  <c r="E6" i="5"/>
  <c r="P7" i="5"/>
  <c r="M7" i="5"/>
  <c r="AO15" i="9"/>
  <c r="H6" i="6"/>
  <c r="I6" i="6"/>
  <c r="K6" i="6"/>
  <c r="L6" i="6"/>
  <c r="M6" i="6"/>
  <c r="O6" i="6"/>
  <c r="AN15" i="9"/>
  <c r="U13" i="6"/>
  <c r="P13" i="6"/>
  <c r="P11" i="6"/>
  <c r="U11" i="6"/>
  <c r="U9" i="6"/>
  <c r="P9" i="6"/>
  <c r="P8" i="6"/>
  <c r="U8" i="6"/>
  <c r="U14" i="6"/>
  <c r="P14" i="6"/>
  <c r="M14" i="6"/>
  <c r="O14" i="6"/>
  <c r="M11" i="6"/>
  <c r="O11" i="6"/>
  <c r="M9" i="6"/>
  <c r="O9" i="6"/>
  <c r="M8" i="6"/>
  <c r="O8" i="6"/>
  <c r="T7" i="6"/>
  <c r="M13" i="6"/>
  <c r="O13" i="6"/>
  <c r="T10" i="6"/>
  <c r="T12" i="6"/>
  <c r="I5" i="6"/>
  <c r="K5" i="6"/>
  <c r="L5" i="6"/>
  <c r="BG34" i="9"/>
  <c r="BH34" i="9"/>
  <c r="BH30" i="9"/>
  <c r="K9" i="5"/>
  <c r="AT29" i="9"/>
  <c r="AO30" i="9"/>
  <c r="H6" i="5"/>
  <c r="AO29" i="9"/>
  <c r="H5" i="5"/>
  <c r="O7" i="5"/>
  <c r="T7" i="5"/>
  <c r="AP43" i="9"/>
  <c r="AP42" i="9"/>
  <c r="AY25" i="9"/>
  <c r="AY30" i="9"/>
  <c r="AY34" i="9"/>
  <c r="AP44" i="9"/>
  <c r="P6" i="6"/>
  <c r="U6" i="6"/>
  <c r="U5" i="6"/>
  <c r="P5" i="6"/>
  <c r="M8" i="5"/>
  <c r="P8" i="5"/>
  <c r="T13" i="6"/>
  <c r="T9" i="6"/>
  <c r="T14" i="6"/>
  <c r="T6" i="6"/>
  <c r="T8" i="6"/>
  <c r="T11" i="6"/>
  <c r="M5" i="6"/>
  <c r="O5" i="6"/>
  <c r="AD19" i="9"/>
  <c r="D5" i="5"/>
  <c r="AE19" i="9"/>
  <c r="D6" i="5"/>
  <c r="I6" i="5"/>
  <c r="K6" i="5"/>
  <c r="L6" i="5"/>
  <c r="AZ25" i="9"/>
  <c r="T8" i="5"/>
  <c r="O8" i="5"/>
  <c r="T5" i="6"/>
  <c r="AZ34" i="9"/>
  <c r="AZ30" i="9"/>
  <c r="AY37" i="9"/>
  <c r="E5" i="5"/>
  <c r="L9" i="5"/>
  <c r="U9" i="5"/>
  <c r="I5" i="5"/>
  <c r="K5" i="5"/>
  <c r="L5" i="5"/>
  <c r="P5" i="5"/>
  <c r="U6" i="5"/>
  <c r="P6" i="5"/>
  <c r="M6" i="5"/>
  <c r="P9" i="5"/>
  <c r="M9" i="5"/>
  <c r="T6" i="5"/>
  <c r="O6" i="5"/>
  <c r="U5" i="5"/>
  <c r="M5" i="5"/>
  <c r="T5" i="5"/>
  <c r="T9" i="5"/>
  <c r="O9" i="5"/>
  <c r="O5" i="5"/>
</calcChain>
</file>

<file path=xl/sharedStrings.xml><?xml version="1.0" encoding="utf-8"?>
<sst xmlns="http://schemas.openxmlformats.org/spreadsheetml/2006/main" count="925" uniqueCount="480">
  <si>
    <t>Maître d'ouvrage/porteur du projet :</t>
  </si>
  <si>
    <t>Logement 1</t>
  </si>
  <si>
    <t>Logement 2</t>
  </si>
  <si>
    <t>Logement 3</t>
  </si>
  <si>
    <t>Logement 4</t>
  </si>
  <si>
    <t>Logement 5</t>
  </si>
  <si>
    <t>Logement 6</t>
  </si>
  <si>
    <t>Logement 7</t>
  </si>
  <si>
    <t>Logement 8</t>
  </si>
  <si>
    <t>Logement 9</t>
  </si>
  <si>
    <t>Logement 10</t>
  </si>
  <si>
    <t>Logement 11</t>
  </si>
  <si>
    <t>Logement 12</t>
  </si>
  <si>
    <t>Logement 13</t>
  </si>
  <si>
    <t>Logement 14</t>
  </si>
  <si>
    <t>Logement 15</t>
  </si>
  <si>
    <t>Logement 16</t>
  </si>
  <si>
    <t>Logement 17</t>
  </si>
  <si>
    <t>Logement 18</t>
  </si>
  <si>
    <t>Logement 19</t>
  </si>
  <si>
    <t>Logement 20</t>
  </si>
  <si>
    <t>Logement 21</t>
  </si>
  <si>
    <t>Logement 22</t>
  </si>
  <si>
    <t>Logement 23</t>
  </si>
  <si>
    <t>Logement 24</t>
  </si>
  <si>
    <t>Ville la plus proche du projet :</t>
  </si>
  <si>
    <t>Année construction immeuble :</t>
  </si>
  <si>
    <t>Type de chauffage :</t>
  </si>
  <si>
    <t>Nombres de personnes :</t>
  </si>
  <si>
    <t xml:space="preserve">Type de rénovation : </t>
  </si>
  <si>
    <t>Coût mensuel estimatif moyen Chauffage</t>
  </si>
  <si>
    <t>Coût mensuel estimatif moyen ECS</t>
  </si>
  <si>
    <t>Coût mensuel estimatif moyen eau froide</t>
  </si>
  <si>
    <t>Coût mensuel estimatif moyen électricité spécifique</t>
  </si>
  <si>
    <t>Coût mensuel estimatif moyen cuisson</t>
  </si>
  <si>
    <t>Coût Total mensuel avec loyer et charges</t>
  </si>
  <si>
    <t>Coût Total mensuel énergies et eau</t>
  </si>
  <si>
    <t>option base TTC</t>
  </si>
  <si>
    <t>puissance souscrite</t>
  </si>
  <si>
    <t>abonnement annuel en € TTc/an</t>
  </si>
  <si>
    <t>prix du kWh en c € TTc/kWh</t>
  </si>
  <si>
    <t xml:space="preserve">puissance retenu </t>
  </si>
  <si>
    <t>type</t>
  </si>
  <si>
    <t>base</t>
  </si>
  <si>
    <t>B0</t>
  </si>
  <si>
    <t>B1</t>
  </si>
  <si>
    <t>Type retenu</t>
  </si>
  <si>
    <t>catégorie de consommation</t>
  </si>
  <si>
    <t>base en m3/an.pers</t>
  </si>
  <si>
    <t>coût estimé</t>
  </si>
  <si>
    <t>chasse d'eau</t>
  </si>
  <si>
    <t>lave linge</t>
  </si>
  <si>
    <t>vaisselle</t>
  </si>
  <si>
    <t>douche</t>
  </si>
  <si>
    <t>TOTAL</t>
  </si>
  <si>
    <r>
      <t>consommation d'eau en m</t>
    </r>
    <r>
      <rPr>
        <b/>
        <vertAlign val="superscript"/>
        <sz val="10"/>
        <rFont val="Arial"/>
        <family val="2"/>
      </rPr>
      <t>3</t>
    </r>
  </si>
  <si>
    <r>
      <t>estimation en m</t>
    </r>
    <r>
      <rPr>
        <vertAlign val="superscript"/>
        <sz val="10"/>
        <rFont val="Arial"/>
        <family val="2"/>
      </rPr>
      <t>3</t>
    </r>
  </si>
  <si>
    <r>
      <t>robinets hors douche et baignoire</t>
    </r>
    <r>
      <rPr>
        <sz val="10"/>
        <rFont val="Arial"/>
        <family val="2"/>
      </rPr>
      <t>)</t>
    </r>
  </si>
  <si>
    <t>nombre kWh ECS</t>
  </si>
  <si>
    <t>prix du kWh</t>
  </si>
  <si>
    <t>prix ecs en €</t>
  </si>
  <si>
    <t>rendement système</t>
  </si>
  <si>
    <t>type d'energie ecs</t>
  </si>
  <si>
    <t>CESI + bois</t>
  </si>
  <si>
    <t>CESI + elec</t>
  </si>
  <si>
    <t>CESI + fioul</t>
  </si>
  <si>
    <t>CESI + gaz</t>
  </si>
  <si>
    <t>fioul</t>
  </si>
  <si>
    <t>gaz naturel</t>
  </si>
  <si>
    <t>solaire collectif + bois</t>
  </si>
  <si>
    <t>solaire collectif + elec</t>
  </si>
  <si>
    <t>solaire collectif + fioul</t>
  </si>
  <si>
    <t>solaire collectif + gaz</t>
  </si>
  <si>
    <t>generateur</t>
  </si>
  <si>
    <t>rendement tout compris</t>
  </si>
  <si>
    <t>chaudiere bois buche</t>
  </si>
  <si>
    <t>chaudiere bois granulés</t>
  </si>
  <si>
    <t>chaudiere fioul basse température</t>
  </si>
  <si>
    <t>chaudiere gaz naturel basse température</t>
  </si>
  <si>
    <t>chauffage bois + éléctricité (80-20)</t>
  </si>
  <si>
    <t>pac air-air</t>
  </si>
  <si>
    <t>pac air-eau plancher chauffant</t>
  </si>
  <si>
    <t>pac air-eau radiateur basse température</t>
  </si>
  <si>
    <t>pac air-eau radiateur haute température</t>
  </si>
  <si>
    <t>plancher chauffant éléctrique</t>
  </si>
  <si>
    <t>poêle à bois buche</t>
  </si>
  <si>
    <t>poêle à bois granulés</t>
  </si>
  <si>
    <t>radiateur électrique à accumulation</t>
  </si>
  <si>
    <t>radiateur électrique rayonnant</t>
  </si>
  <si>
    <t>ville</t>
  </si>
  <si>
    <t>dept</t>
  </si>
  <si>
    <t>maison</t>
  </si>
  <si>
    <r>
      <t xml:space="preserve">rénovation RT existante : 
isolation toiture : </t>
    </r>
    <r>
      <rPr>
        <sz val="10"/>
        <rFont val="Calibri"/>
        <family val="2"/>
      </rPr>
      <t>≈15</t>
    </r>
    <r>
      <rPr>
        <sz val="10"/>
        <rFont val="Arial"/>
        <family val="2"/>
      </rPr>
      <t xml:space="preserve"> cm ( R&gt;4)
menuiseries double vitrages (U</t>
    </r>
    <r>
      <rPr>
        <vertAlign val="subscript"/>
        <sz val="10"/>
        <rFont val="Arial"/>
        <family val="2"/>
      </rPr>
      <t>w</t>
    </r>
    <r>
      <rPr>
        <sz val="10"/>
        <rFont val="Arial"/>
        <family val="2"/>
      </rPr>
      <t>&lt; 2,3)
isolant des murs : ≈9 cm ( R&gt;2 ,3)</t>
    </r>
  </si>
  <si>
    <t>rénovation performante : 
isolation toiture : ≈30 cm ( R&gt;7)
menuiseries double vitrages argon + traitement (Uw&lt; 1,3)
isolant des murs : ≈14 cm ( R&gt;3,7 )</t>
  </si>
  <si>
    <t>Abbeville</t>
  </si>
  <si>
    <t>Agen</t>
  </si>
  <si>
    <t>Alençon</t>
  </si>
  <si>
    <t>Ambérieu</t>
  </si>
  <si>
    <t>Angers</t>
  </si>
  <si>
    <t>Auxerre</t>
  </si>
  <si>
    <t>Beauvais</t>
  </si>
  <si>
    <t>Besançon</t>
  </si>
  <si>
    <t>Biarritz</t>
  </si>
  <si>
    <t>Bordeaux</t>
  </si>
  <si>
    <t>Bourges</t>
  </si>
  <si>
    <t>Brest</t>
  </si>
  <si>
    <t>Caen</t>
  </si>
  <si>
    <t xml:space="preserve">Chartres </t>
  </si>
  <si>
    <t>Châteauroux</t>
  </si>
  <si>
    <t>Clermont ferrand</t>
  </si>
  <si>
    <t>Cognac</t>
  </si>
  <si>
    <t>Dax</t>
  </si>
  <si>
    <t>Dijon</t>
  </si>
  <si>
    <t>Embrun</t>
  </si>
  <si>
    <t>Gourdon</t>
  </si>
  <si>
    <t>Grenoble</t>
  </si>
  <si>
    <t>La Rochelle</t>
  </si>
  <si>
    <t>Langres</t>
  </si>
  <si>
    <t>Le Mans</t>
  </si>
  <si>
    <t>Lille</t>
  </si>
  <si>
    <t>Limoges</t>
  </si>
  <si>
    <t>Lorient</t>
  </si>
  <si>
    <t>Luxeuil</t>
  </si>
  <si>
    <t>Lyon</t>
  </si>
  <si>
    <t>Mâcon</t>
  </si>
  <si>
    <t>Marseille</t>
  </si>
  <si>
    <t>Metz</t>
  </si>
  <si>
    <t>Millau</t>
  </si>
  <si>
    <t>Mont de Marsan</t>
  </si>
  <si>
    <t>Montélimar</t>
  </si>
  <si>
    <t>Montpellier</t>
  </si>
  <si>
    <t>Mulhouse</t>
  </si>
  <si>
    <t>Nancy</t>
  </si>
  <si>
    <t>Nantes</t>
  </si>
  <si>
    <t>Nevers</t>
  </si>
  <si>
    <t>Nice</t>
  </si>
  <si>
    <t>Nimes</t>
  </si>
  <si>
    <t>Orange</t>
  </si>
  <si>
    <t>Orléans</t>
  </si>
  <si>
    <t>Paris</t>
  </si>
  <si>
    <t>Pau</t>
  </si>
  <si>
    <t>Perpignan</t>
  </si>
  <si>
    <t>Poitiers</t>
  </si>
  <si>
    <t>Reims</t>
  </si>
  <si>
    <t>Rennes</t>
  </si>
  <si>
    <t>Rouen</t>
  </si>
  <si>
    <t>Saint Girons</t>
  </si>
  <si>
    <t>Saint-Dizier</t>
  </si>
  <si>
    <t>Saint-Quentin</t>
  </si>
  <si>
    <t>Strasbourg</t>
  </si>
  <si>
    <t>Tarbes</t>
  </si>
  <si>
    <t>Toulon</t>
  </si>
  <si>
    <t>Toulouse</t>
  </si>
  <si>
    <t>Tours</t>
  </si>
  <si>
    <t>Trappes</t>
  </si>
  <si>
    <t>intermédiaire</t>
  </si>
  <si>
    <t>dernier étage</t>
  </si>
  <si>
    <t>&lt;1975</t>
  </si>
  <si>
    <t>≥1975</t>
  </si>
  <si>
    <t>hygroB</t>
  </si>
  <si>
    <t>double flux</t>
  </si>
  <si>
    <t>besoin chauffage retenu brut</t>
  </si>
  <si>
    <t>n°colonne retenu</t>
  </si>
  <si>
    <t>hygro B retenu</t>
  </si>
  <si>
    <t>double flux retenu</t>
  </si>
  <si>
    <t>besoin chauffage retenu net</t>
  </si>
  <si>
    <t>besoin chauffage/m²</t>
  </si>
  <si>
    <t>correction surface</t>
  </si>
  <si>
    <t xml:space="preserve">conso chauffage </t>
  </si>
  <si>
    <t>prix chauffage</t>
  </si>
  <si>
    <t>tarif éléc</t>
  </si>
  <si>
    <t>tarif gaz</t>
  </si>
  <si>
    <t>bois buche</t>
  </si>
  <si>
    <t>bois granulés</t>
  </si>
  <si>
    <t>type d'énergie</t>
  </si>
  <si>
    <t>chaudiere gaz naturel condensation émetteur haute température</t>
  </si>
  <si>
    <t>chaudiere gaz naturel condensation émetteur basse température</t>
  </si>
  <si>
    <t>Adultes et enfants de 14 ans et +</t>
  </si>
  <si>
    <t>Enfants de moins de 14 ans</t>
  </si>
  <si>
    <t>individuel</t>
  </si>
  <si>
    <t>collectif</t>
  </si>
  <si>
    <t>ballon thermodynamique</t>
  </si>
  <si>
    <t>VMC Simple flux autoréglable</t>
  </si>
  <si>
    <t>VMC Simple flux hygroréglable type B</t>
  </si>
  <si>
    <t>VMC Double flux</t>
  </si>
  <si>
    <t>gaz de ville</t>
  </si>
  <si>
    <t>gaz bouteille</t>
  </si>
  <si>
    <t>Mitoyenneté :</t>
  </si>
  <si>
    <t>indépendante</t>
  </si>
  <si>
    <t>1 coté</t>
  </si>
  <si>
    <t>2 cotés</t>
  </si>
  <si>
    <t>Saint-Etienne</t>
  </si>
  <si>
    <t>usage individuel ITI</t>
  </si>
  <si>
    <t>usage individuel ITE</t>
  </si>
  <si>
    <t>usage collectif ITI</t>
  </si>
  <si>
    <t>usage collectif ITE</t>
  </si>
  <si>
    <t>intérieur</t>
  </si>
  <si>
    <t>extérieur</t>
  </si>
  <si>
    <t>mitoyenneté</t>
  </si>
  <si>
    <t>logt1</t>
  </si>
  <si>
    <t>logt3</t>
  </si>
  <si>
    <t>logement1</t>
  </si>
  <si>
    <t>logement 2</t>
  </si>
  <si>
    <t>logement 3</t>
  </si>
  <si>
    <t>logt 1</t>
  </si>
  <si>
    <t>logt 2</t>
  </si>
  <si>
    <t>logt 3</t>
  </si>
  <si>
    <t xml:space="preserve">bois </t>
  </si>
  <si>
    <t>gaz</t>
  </si>
  <si>
    <t>soleil</t>
  </si>
  <si>
    <t>énergie</t>
  </si>
  <si>
    <t>chauf</t>
  </si>
  <si>
    <t>ECS</t>
  </si>
  <si>
    <t>en €</t>
  </si>
  <si>
    <t>gaz bouteille 13 kg</t>
  </si>
  <si>
    <t>prix du kWh en  € TTc/kWh</t>
  </si>
  <si>
    <t>ECS retenu</t>
  </si>
  <si>
    <t>cuisson 350 kWh +80 kwh.pers_sup                                           kWh</t>
  </si>
  <si>
    <t>1 UC</t>
  </si>
  <si>
    <t>remise TPN</t>
  </si>
  <si>
    <t>remise TSS</t>
  </si>
  <si>
    <t>Allocation d'adulte handicapé</t>
  </si>
  <si>
    <t>ASSEDIC</t>
  </si>
  <si>
    <t>Minimas sociaux</t>
  </si>
  <si>
    <t>Salaire</t>
  </si>
  <si>
    <t>Retraite</t>
  </si>
  <si>
    <t>Position de l'isolant :</t>
  </si>
  <si>
    <r>
      <t>Prix du m</t>
    </r>
    <r>
      <rPr>
        <b/>
        <vertAlign val="superscript"/>
        <sz val="11"/>
        <color indexed="8"/>
        <rFont val="Calibri"/>
        <family val="2"/>
      </rPr>
      <t xml:space="preserve">3 </t>
    </r>
    <r>
      <rPr>
        <b/>
        <sz val="11"/>
        <color indexed="8"/>
        <rFont val="Calibri"/>
        <family val="2"/>
      </rPr>
      <t>d'eau charges comprises :</t>
    </r>
  </si>
  <si>
    <t>Loyer mensuel :</t>
  </si>
  <si>
    <t>L'abonnement gaz est compris soit dans le chauffage, soit dans l'ECS, soit dans la cuisson</t>
  </si>
  <si>
    <t>Type de logement :</t>
  </si>
  <si>
    <t>zone géo</t>
  </si>
  <si>
    <t>n° ligne retenu</t>
  </si>
  <si>
    <t>Logement 25</t>
  </si>
  <si>
    <t>Logement 26</t>
  </si>
  <si>
    <t>Logement 27</t>
  </si>
  <si>
    <t>Logement 28</t>
  </si>
  <si>
    <t>Logement 29</t>
  </si>
  <si>
    <t>Logement 30</t>
  </si>
  <si>
    <t>Logement 31</t>
  </si>
  <si>
    <t>Logement 32</t>
  </si>
  <si>
    <t>Logement 33</t>
  </si>
  <si>
    <t>Logement 34</t>
  </si>
  <si>
    <t>Logement 35</t>
  </si>
  <si>
    <t>Logement 36</t>
  </si>
  <si>
    <t>Logement 37</t>
  </si>
  <si>
    <t>Logement 38</t>
  </si>
  <si>
    <t>Logement 39</t>
  </si>
  <si>
    <t>Logement 40</t>
  </si>
  <si>
    <t>zone geo retenue</t>
  </si>
  <si>
    <t>hygro B</t>
  </si>
  <si>
    <t>reduction iso toiture</t>
  </si>
  <si>
    <t>reduction iso ext</t>
  </si>
  <si>
    <t>reduction iso int</t>
  </si>
  <si>
    <t>conso chauffage</t>
  </si>
  <si>
    <t>kwh gaz</t>
  </si>
  <si>
    <t>rendement chauffage</t>
  </si>
  <si>
    <t>prix du kwh</t>
  </si>
  <si>
    <t>kWh retenu</t>
  </si>
  <si>
    <t>rendement</t>
  </si>
  <si>
    <t>energie</t>
  </si>
  <si>
    <t>prix ECS</t>
  </si>
  <si>
    <r>
      <t>consommation d'eau froide en m</t>
    </r>
    <r>
      <rPr>
        <vertAlign val="superscript"/>
        <sz val="11"/>
        <color indexed="8"/>
        <rFont val="Calibri"/>
        <family val="2"/>
      </rPr>
      <t>3</t>
    </r>
  </si>
  <si>
    <t>oui</t>
  </si>
  <si>
    <t>non</t>
  </si>
  <si>
    <t>rez de chaussée</t>
  </si>
  <si>
    <t>électricité</t>
  </si>
  <si>
    <t>élec</t>
  </si>
  <si>
    <t>bois</t>
  </si>
  <si>
    <t>conso éléc spé 2: 18kwh/m².an+3,5kwh/m².an.pers_sup             en kWh</t>
  </si>
  <si>
    <t>iso plancher bas</t>
  </si>
  <si>
    <t>chaudiere fioul condensation émetteur basse température</t>
  </si>
  <si>
    <t>chaudiere fioul condensation émetteur haute température</t>
  </si>
  <si>
    <t>élec+bois</t>
  </si>
  <si>
    <t>besoin chauffage net ind</t>
  </si>
  <si>
    <t>besoin chauffage net coll</t>
  </si>
  <si>
    <t>ratio au m²</t>
  </si>
  <si>
    <t>prix du kWh en €</t>
  </si>
  <si>
    <t>logement 1</t>
  </si>
  <si>
    <t>logement 4</t>
  </si>
  <si>
    <t>logement 5</t>
  </si>
  <si>
    <t>logement 6</t>
  </si>
  <si>
    <t>logement 7</t>
  </si>
  <si>
    <t>logement 8</t>
  </si>
  <si>
    <t>logement 9</t>
  </si>
  <si>
    <t>logement 10</t>
  </si>
  <si>
    <t xml:space="preserve">Coût Total mensuel charges hors fluides (énergie et eau) </t>
  </si>
  <si>
    <t xml:space="preserve">Reste pour vivre   par jour &amp; par UC </t>
  </si>
  <si>
    <t xml:space="preserve">Taux de dépense contrainte logement </t>
  </si>
  <si>
    <t>Reste pour vivre mensuel</t>
  </si>
  <si>
    <t>Rôle de l'APL</t>
  </si>
  <si>
    <t>Coûts par poste de dépense</t>
  </si>
  <si>
    <t>Coûts globaux</t>
  </si>
  <si>
    <t>Petit guide d'utilisation de l'outil</t>
  </si>
  <si>
    <t>Coût résiduel
(Coût total-APL)</t>
  </si>
  <si>
    <t>Si le nombre de logements de l'opération dépasse le maximum prévu, indiquez des typlogies représentatives.</t>
  </si>
  <si>
    <t>Nombres de personnes</t>
  </si>
  <si>
    <t>Système de ventilation</t>
  </si>
  <si>
    <t>Loyer mensuel</t>
  </si>
  <si>
    <t>Surface habitable en m²</t>
  </si>
  <si>
    <t>Système de production du chauffage</t>
  </si>
  <si>
    <t>Type de production ECS</t>
  </si>
  <si>
    <t>Mode de cuisson</t>
  </si>
  <si>
    <t>Maître d'ouvrage/porteur du projet et adresse de l'opérations</t>
  </si>
  <si>
    <t>Maître d'ouvrage/
Adresse de l'opération</t>
  </si>
  <si>
    <t>Situation du logement</t>
  </si>
  <si>
    <t>Surface</t>
  </si>
  <si>
    <t>Informations par logement (type, étage)</t>
  </si>
  <si>
    <t>Identification du logement</t>
  </si>
  <si>
    <t>Etage</t>
  </si>
  <si>
    <t xml:space="preserve">UC(2)
</t>
  </si>
  <si>
    <t>(1) Nettoyage et électricité parties communes, TEOM, etc.</t>
  </si>
  <si>
    <t>Montant mensuel APL(2)</t>
  </si>
  <si>
    <r>
      <t>Contrats d'entretien</t>
    </r>
    <r>
      <rPr>
        <b/>
        <sz val="11"/>
        <color rgb="FFFF0000"/>
        <rFont val="Calibri"/>
        <family val="2"/>
        <scheme val="minor"/>
      </rPr>
      <t xml:space="preserve"> en €/lgt/an</t>
    </r>
  </si>
  <si>
    <r>
      <t xml:space="preserve">Assurance habitation </t>
    </r>
    <r>
      <rPr>
        <b/>
        <sz val="11"/>
        <color rgb="FFFF0000"/>
        <rFont val="Calibri"/>
        <family val="2"/>
        <scheme val="minor"/>
      </rPr>
      <t>en €/lgt/an</t>
    </r>
  </si>
  <si>
    <r>
      <t xml:space="preserve">Taxe habitation </t>
    </r>
    <r>
      <rPr>
        <sz val="8"/>
        <color theme="1"/>
        <rFont val="Calibri"/>
        <family val="2"/>
        <scheme val="minor"/>
      </rPr>
      <t>(si non exonéré)</t>
    </r>
    <r>
      <rPr>
        <b/>
        <sz val="8"/>
        <color theme="1"/>
        <rFont val="Calibri"/>
        <family val="2"/>
        <scheme val="minor"/>
      </rPr>
      <t xml:space="preserve"> </t>
    </r>
    <r>
      <rPr>
        <b/>
        <sz val="11"/>
        <color rgb="FFFF0000"/>
        <rFont val="Calibri"/>
        <family val="2"/>
        <scheme val="minor"/>
      </rPr>
      <t>en €/an</t>
    </r>
  </si>
  <si>
    <r>
      <t xml:space="preserve">Autre(s) : en </t>
    </r>
    <r>
      <rPr>
        <b/>
        <sz val="11"/>
        <color rgb="FFFF0000"/>
        <rFont val="Calibri"/>
        <family val="2"/>
        <scheme val="minor"/>
      </rPr>
      <t>€/an</t>
    </r>
  </si>
  <si>
    <r>
      <t>Charges (hors énergie et eau)</t>
    </r>
    <r>
      <rPr>
        <b/>
        <sz val="11"/>
        <color rgb="FFFF0000"/>
        <rFont val="Calibri"/>
        <family val="2"/>
        <scheme val="minor"/>
      </rPr>
      <t xml:space="preserve"> saisie des coûts au m² et/ou à l'année</t>
    </r>
  </si>
  <si>
    <r>
      <t xml:space="preserve">charges locatives (1) </t>
    </r>
    <r>
      <rPr>
        <b/>
        <sz val="11"/>
        <color rgb="FFFF0000"/>
        <rFont val="Calibri"/>
        <family val="2"/>
        <scheme val="minor"/>
      </rPr>
      <t>en €/m²/an</t>
    </r>
    <r>
      <rPr>
        <b/>
        <sz val="11"/>
        <color theme="1"/>
        <rFont val="Calibri"/>
        <family val="2"/>
        <scheme val="minor"/>
      </rPr>
      <t xml:space="preserve"> </t>
    </r>
  </si>
  <si>
    <r>
      <t>Charges (hors énergie et eau)</t>
    </r>
    <r>
      <rPr>
        <b/>
        <sz val="11"/>
        <color rgb="FFFF0000"/>
        <rFont val="Calibri"/>
        <family val="2"/>
        <scheme val="minor"/>
      </rPr>
      <t xml:space="preserve"> saisie des coûts au m2 et/ou à l'année</t>
    </r>
  </si>
  <si>
    <r>
      <t xml:space="preserve">Contrats d'entretien annuel 
</t>
    </r>
    <r>
      <rPr>
        <b/>
        <sz val="11"/>
        <color rgb="FFFF0000"/>
        <rFont val="Calibri"/>
        <family val="2"/>
        <scheme val="minor"/>
      </rPr>
      <t>en €/lgt</t>
    </r>
  </si>
  <si>
    <r>
      <t>Assurance habitation</t>
    </r>
    <r>
      <rPr>
        <b/>
        <sz val="11"/>
        <color rgb="FFFF0000"/>
        <rFont val="Calibri"/>
        <family val="2"/>
        <scheme val="minor"/>
      </rPr>
      <t xml:space="preserve"> en €/lgt/an</t>
    </r>
  </si>
  <si>
    <t>type de production ecs</t>
  </si>
  <si>
    <t>ballon élec + de 15 ans</t>
  </si>
  <si>
    <t>ballon élec de 5 à 15 ans</t>
  </si>
  <si>
    <t>ballon élec - de 5 ans</t>
  </si>
  <si>
    <t>ventilation naturelle</t>
  </si>
  <si>
    <t>non changées</t>
  </si>
  <si>
    <t>changées partiellement</t>
  </si>
  <si>
    <t>correction fenetre</t>
  </si>
  <si>
    <t>Changement fenêtres :</t>
  </si>
  <si>
    <t>partiellement</t>
  </si>
  <si>
    <t>en intégralité</t>
  </si>
  <si>
    <t>n°colonne retenu chgt fenetres</t>
  </si>
  <si>
    <t>besoin chauffage avec corrections</t>
  </si>
  <si>
    <t>correction fénêtres</t>
  </si>
  <si>
    <t>RSA socle</t>
  </si>
  <si>
    <t>1ier revenu</t>
  </si>
  <si>
    <t>2nd revenu</t>
  </si>
  <si>
    <t>Ressources</t>
  </si>
  <si>
    <t>Montant mensuel net</t>
  </si>
  <si>
    <t>Seul sans AL</t>
  </si>
  <si>
    <t>Couple sans AL</t>
  </si>
  <si>
    <t>Enfant</t>
  </si>
  <si>
    <t>&gt;3</t>
  </si>
  <si>
    <t>Allocation Adulte Handicapé</t>
  </si>
  <si>
    <t>Allocations familiales</t>
  </si>
  <si>
    <t>AF</t>
  </si>
  <si>
    <t>Majoration si + 14ans</t>
  </si>
  <si>
    <t>&gt;4</t>
  </si>
  <si>
    <t>Si minima sociaux (RSA, AAH) : montant max en fonction de la situation familiale</t>
  </si>
  <si>
    <t>Sinon, estimation d'un RFR en fonction des profils de revenus :</t>
  </si>
  <si>
    <t>https://www.energie-info.fr/fiche_pratique/le-cheque-energie/</t>
  </si>
  <si>
    <t>1 &lt; UC &lt; 2</t>
  </si>
  <si>
    <t>2 UC ou +</t>
  </si>
  <si>
    <t>RFR 2018 par UC &lt; à :</t>
  </si>
  <si>
    <t>Nb d'UC : 1 pour la 1ière personne, 0,5 pour la seconde, 0,3 pour les suivantes</t>
  </si>
  <si>
    <t>Nbre d'UC</t>
  </si>
  <si>
    <t>Nb d'UC</t>
  </si>
  <si>
    <t>RFR estimatif</t>
  </si>
  <si>
    <t>RFR / UC</t>
  </si>
  <si>
    <t>Rev mensuel estimatif à déclarer R1</t>
  </si>
  <si>
    <t>Rev mensuel estimatif à déclarer R2</t>
  </si>
  <si>
    <t>Montant du chèque Energie</t>
  </si>
  <si>
    <t>Taux de dépense contrainte logement  
si Chèque Energie mensualisé (1)</t>
  </si>
  <si>
    <t>Cases à renseigner</t>
  </si>
  <si>
    <t>Montant Allocations Familiales</t>
  </si>
  <si>
    <t>*tant que les enfants ont moins de 20 ans</t>
  </si>
  <si>
    <t>Autres ressources
2nd adulte</t>
  </si>
  <si>
    <t>Nature Ressources Principales
1ier adulte</t>
  </si>
  <si>
    <t>Montant mensuel APL</t>
  </si>
  <si>
    <t>(1) Nettoyage et électricité parties communes, Taxe d'Enlèvement des Ordures Ménagères, etc.</t>
  </si>
  <si>
    <t>Montant du chèque énergie</t>
  </si>
  <si>
    <t>Salaire 
300 €/mois</t>
  </si>
  <si>
    <t>Salaire 
650 €/mois</t>
  </si>
  <si>
    <t>Salaire 
900 €/mois</t>
  </si>
  <si>
    <t>SMIC net 35h 
1 227€/mois</t>
  </si>
  <si>
    <t>ASPA</t>
  </si>
  <si>
    <t>Seul</t>
  </si>
  <si>
    <t>Couple</t>
  </si>
  <si>
    <t>RSA parent isolé</t>
  </si>
  <si>
    <t>Seul + enf</t>
  </si>
  <si>
    <t>&gt;2</t>
  </si>
  <si>
    <t>formules pour info</t>
  </si>
  <si>
    <t>Aucune ressource</t>
  </si>
  <si>
    <t>Typologie des logements</t>
  </si>
  <si>
    <t>Studio</t>
  </si>
  <si>
    <t>T1</t>
  </si>
  <si>
    <t>T2</t>
  </si>
  <si>
    <t>T3</t>
  </si>
  <si>
    <t>T4</t>
  </si>
  <si>
    <t>Cases à choix multiples</t>
  </si>
  <si>
    <t>Montant annuel</t>
  </si>
  <si>
    <t>Reste pour vivrre  mensuel
en tenant compte du Chèque énergie (1)</t>
  </si>
  <si>
    <t>(1) Chèque Energie</t>
  </si>
  <si>
    <t>Montant si mensualisé</t>
  </si>
  <si>
    <t>Pour info : consommation d'énergie</t>
  </si>
  <si>
    <t>Cout de l'abonnement
d'électricité et de gaz</t>
  </si>
  <si>
    <t>https://www.aide-sociale.fr/rsa-socle-dossier-calcul/</t>
  </si>
  <si>
    <t>MAJ 29/01/2020</t>
  </si>
  <si>
    <t>https://www.service-public.fr/particuliers/vosdroits/F13213</t>
  </si>
  <si>
    <t>https://www.service-public.fr/particuliers/vosdroits/F16871</t>
  </si>
  <si>
    <t>MAJ 29/01/2020 / loi de finance en attente pour montant 2020</t>
  </si>
  <si>
    <t>prix du kWh en € TTc/kWh</t>
  </si>
  <si>
    <t>CALCUL POUR MAISON INDIVIDUELLE</t>
  </si>
  <si>
    <t>CALCUL POUR IMMEUBLE</t>
  </si>
  <si>
    <t>Montant Chèque Energie</t>
  </si>
  <si>
    <t>Taux de dépense contrainte logement si Chèque Energie mensualisé (1)</t>
  </si>
  <si>
    <t>En bas de la feuille excel se trouvent plusieurs onglets, deux de couleur bleue et deux de couleur rouge. Les bleus correspondent aux projets sur des maisons qu'elles soient découpées ou non en plusieurs logements les rouges pour les immeubles. Dans chaque cas, vous trouvez deux onglets, l'un pour la saisie et l'autre pour les résultats. En fonction de votre projet, la première étape est de se rendre sur l'onglet de saisie correspondant.</t>
  </si>
  <si>
    <t>Utilisation de la feuille de saisie maison (logement unique ou divisée) :</t>
  </si>
  <si>
    <t xml:space="preserve">En premier lieu, veuillez indiquer vos coordonnées et références de l'opération. Choisissez ensuite la ville la plus proche de votre projet. Les 62 villes proposées sont classées par ordre alphabétique. Il vous est ensuite demandé de remplir le type de logement, à savoir si le batiment n'est occupé que par une seule famille dans ce cas, choisissez individuel, sinon collectif. Séléctionnez ensuite le type de mitoyenneté du bâtiment, puis le type de rénovation. </t>
  </si>
  <si>
    <t>Si votre rénovation est plus ambitieuse que celles proposées, choisissez quand même la rénovation performante.</t>
  </si>
  <si>
    <t xml:space="preserve">Ensuite pensez, à sélectionner la position de l'isolant pour l'isolation des murs verticaux donnant sur l'extérieur. Une isolation par l'extérieur est plus efficace que par l'intérieur.
A droite de la case dans laquelle vous avez indiqué le type de rénovation, pensez à renseigner le prix du mètre cube d'eau charges comprises, et juste en dessous le type de chauffage.
Ensuite, vous allez décrire les logements (l'intégralité ou les plus représentatifs de votre opération). Sachant qu'une ligne correspond à un logement.
Rendez-vous ensuite sur l'onglet résultat correspondant. </t>
  </si>
  <si>
    <t xml:space="preserve">Pour imprimer la feuille résultat, cliquer sur l'onglet fichier (en haut à gauche de la page), puis imprimer.
L'impression est configurée en format A4 mode paysage. </t>
  </si>
  <si>
    <t>Utilisation de la feuille de saisie immeuble (opérations avec maîtrise de l'immeuble entier mais aussi opérations de rachat de lots de copropriétés ou autres opérations sur une partie d'immeuble) :</t>
  </si>
  <si>
    <t xml:space="preserve">Cette feuille fonctionne sur le même principe que la précédente à savoir que toutes les cellules vertes sont à renseigner soit directement, soit parmi une liste. Dans ce dernier cas, quand vous sélectionnez la cellule, une flèche apparaît à droite de celle-ci. Cliquez ensuite sur la flèche et la liste apparaitra. Cliquez ainsi sur la proposition de votre choix. </t>
  </si>
  <si>
    <t>En premier lieu, veuillez indiquer  vos coordonnées et références de l'opération. Choisissez ensuite la ville la plus proche de votre projet. Les 62 villes proposées sont classées par ordre alphabétique.
Ensuite, toute une série de renseignements sur le bâtiment est démandée. Pensez bien à remplir toutes les cellules avant de passer à la description des logements.
Là, une ligne correspond à un logement. Veuillez décrire les logements les plus représentatifs de votre projet, à savoir un aux étages extrèmes et un à étage intermédaire.</t>
  </si>
  <si>
    <t>Rendez-vous ensuite sur l'onglet résultat correspondant.</t>
  </si>
  <si>
    <t xml:space="preserve">Pour imprimer la feuille résultat, cliquer sur l'onglet fichier ( en haut à gauche de la page), puis imprimer.
L'impression est configurée en format A4 mode paysage. </t>
  </si>
  <si>
    <r>
      <rPr>
        <b/>
        <u/>
        <sz val="12"/>
        <color theme="1"/>
        <rFont val="Calibri"/>
        <family val="2"/>
        <scheme val="minor"/>
      </rPr>
      <t>Allocations familiales :</t>
    </r>
    <r>
      <rPr>
        <sz val="11"/>
        <color theme="1"/>
        <rFont val="Calibri"/>
        <family val="2"/>
        <scheme val="minor"/>
      </rPr>
      <t xml:space="preserve">
Le montant des allocations familiales sont ceux pour les ménages aux plus faibles ressources.
Le calcul tient compte du nombre d'adultes et d'enfants renseignés.</t>
    </r>
  </si>
  <si>
    <t>Valeurs de Ressources / Allocations Familiales / Chèque Energie utilisées</t>
  </si>
  <si>
    <t>Allocations familiales (tant que les enfants ont moins de 20 ans)</t>
  </si>
  <si>
    <t>Chèque Energie</t>
  </si>
  <si>
    <t>Partie Ressources / Allocations Familiales / Chèque Energie pour les onglets Saisie maison &amp; Saisie immeuble :</t>
  </si>
  <si>
    <t>Cellules non modifiables / Calcul automatique</t>
  </si>
  <si>
    <r>
      <rPr>
        <b/>
        <sz val="11"/>
        <color theme="1"/>
        <rFont val="Calibri"/>
        <family val="2"/>
        <scheme val="minor"/>
      </rPr>
      <t>Lecture des ressources :</t>
    </r>
    <r>
      <rPr>
        <sz val="11"/>
        <color theme="1"/>
        <rFont val="Calibri"/>
        <family val="2"/>
        <scheme val="minor"/>
      </rPr>
      <t xml:space="preserve">
</t>
    </r>
    <r>
      <rPr>
        <u/>
        <sz val="11"/>
        <color theme="1"/>
        <rFont val="Calibri"/>
        <family val="2"/>
        <scheme val="minor"/>
      </rPr>
      <t>RSA Socle / Parent isolé :</t>
    </r>
    <r>
      <rPr>
        <sz val="11"/>
        <color theme="1"/>
        <rFont val="Calibri"/>
        <family val="2"/>
        <scheme val="minor"/>
      </rPr>
      <t xml:space="preserve"> le calcul se fait sans les allocations logement
</t>
    </r>
    <r>
      <rPr>
        <u/>
        <sz val="11"/>
        <color theme="1"/>
        <rFont val="Calibri"/>
        <family val="2"/>
        <scheme val="minor"/>
      </rPr>
      <t>Salaire :</t>
    </r>
    <r>
      <rPr>
        <sz val="11"/>
        <color theme="1"/>
        <rFont val="Calibri"/>
        <family val="2"/>
        <scheme val="minor"/>
      </rPr>
      <t xml:space="preserve"> ce sont des montants pris par défaut, ils peuvent être utilisés pour une pension de retraite ou d'invalidité
</t>
    </r>
    <r>
      <rPr>
        <u/>
        <sz val="11"/>
        <color theme="1"/>
        <rFont val="Calibri"/>
        <family val="2"/>
        <scheme val="minor"/>
      </rPr>
      <t>Aucune ressource :</t>
    </r>
    <r>
      <rPr>
        <sz val="11"/>
        <color theme="1"/>
        <rFont val="Calibri"/>
        <family val="2"/>
        <scheme val="minor"/>
      </rPr>
      <t xml:space="preserve"> Si un des membres du couple n'a pas de ressource, il faut l'indiquer pour la bonne réalisation des calculs</t>
    </r>
  </si>
  <si>
    <r>
      <rPr>
        <b/>
        <u/>
        <sz val="12"/>
        <color theme="1"/>
        <rFont val="Calibri"/>
        <family val="2"/>
        <scheme val="minor"/>
      </rPr>
      <t xml:space="preserve">Lecture des ressources :
</t>
    </r>
    <r>
      <rPr>
        <sz val="11"/>
        <color theme="1"/>
        <rFont val="Calibri"/>
        <family val="2"/>
        <scheme val="minor"/>
      </rPr>
      <t xml:space="preserve">
</t>
    </r>
    <r>
      <rPr>
        <u/>
        <sz val="11"/>
        <color theme="1"/>
        <rFont val="Calibri"/>
        <family val="2"/>
        <scheme val="minor"/>
      </rPr>
      <t>RSA Socle / Parent isolé :</t>
    </r>
    <r>
      <rPr>
        <sz val="11"/>
        <color theme="1"/>
        <rFont val="Calibri"/>
        <family val="2"/>
        <scheme val="minor"/>
      </rPr>
      <t xml:space="preserve"> le calcul se fait sans les allocations logement
</t>
    </r>
    <r>
      <rPr>
        <u/>
        <sz val="11"/>
        <color theme="1"/>
        <rFont val="Calibri"/>
        <family val="2"/>
        <scheme val="minor"/>
      </rPr>
      <t>Salaire :</t>
    </r>
    <r>
      <rPr>
        <sz val="11"/>
        <color theme="1"/>
        <rFont val="Calibri"/>
        <family val="2"/>
        <scheme val="minor"/>
      </rPr>
      <t xml:space="preserve"> ce sont des montants pris par défaut,  ils peuvent être utilisés pour une pension de retraite ou d'invalidité
</t>
    </r>
    <r>
      <rPr>
        <u/>
        <sz val="11"/>
        <color theme="1"/>
        <rFont val="Calibri"/>
        <family val="2"/>
        <scheme val="minor"/>
      </rPr>
      <t>Aucune ressource :</t>
    </r>
    <r>
      <rPr>
        <sz val="11"/>
        <color theme="1"/>
        <rFont val="Calibri"/>
        <family val="2"/>
        <scheme val="minor"/>
      </rPr>
      <t xml:space="preserve"> Si un des membres du couple n'a pas de ressource, il faut l'indiquer pour la bonne réalisation des calculs</t>
    </r>
  </si>
  <si>
    <t>Nbre d'UC : 1 pour la 1ière personne, 0,5 pour la seconde, 0,3 pour les suivantes</t>
  </si>
  <si>
    <t>tarif réglementé pour l'électricité - MAJ janvier 2020</t>
  </si>
  <si>
    <t>https://www.fournisseurs-electricite.com/edf/tarifs/bleu-reglemente</t>
  </si>
  <si>
    <t>tarif réglementé pour le gaz de ville - MAJ janvier 2020</t>
  </si>
  <si>
    <t>https://www.fournisseurs-electricite.com/engie/tarifs/tarif-reglemente-gaz</t>
  </si>
  <si>
    <t>source tarif ajena - MAJ nov 2019</t>
  </si>
  <si>
    <t>https://www.ajena.org/ressources/argus-energie.htm</t>
  </si>
  <si>
    <t>Ici vous avez deux possibilités :
     - une rénovation respectant la réglementation thermique des bâtiments existants (éléments par éléments) - sur la base de la RT avant 2018 (modifiée 
par l'arrêté du 22 mars 2017).
     - une rénovation dite performante reprenant en partie les exigences techniques du crédit d'impôt transition énergétique (CITE).</t>
  </si>
  <si>
    <t>https://www.service-public.fr/particuliers/vosdroits/F12242</t>
  </si>
  <si>
    <t>AAH</t>
  </si>
  <si>
    <t>L'abonnement d'électricité est compris dans le coût de l'éléctricité spécifique</t>
  </si>
  <si>
    <t>Protéger la feuille :</t>
  </si>
  <si>
    <t>Supprimer les #N/A :</t>
  </si>
  <si>
    <t>https://apprendreexcel.com/excel-message-erreur-na/</t>
  </si>
  <si>
    <t>Accueil / Format / Protéger la feuille</t>
  </si>
  <si>
    <t>https://www.commentcamarche.net/forum/affich-2886210-excel-ne-pas-afficher-valeur</t>
  </si>
  <si>
    <t>Supprimer les #VALEUR ou #DIV0 :</t>
  </si>
  <si>
    <t>SI(ESTERREUR(XX);0;XX)</t>
  </si>
  <si>
    <t>nombre kWh* consommés tous postes confondus</t>
  </si>
  <si>
    <t>nombre kWh* consommés chauffage</t>
  </si>
  <si>
    <t>* kWh en énergie finale</t>
  </si>
  <si>
    <t>kWh* consommés tous postes</t>
  </si>
  <si>
    <t xml:space="preserve"> kWh* consommés chauffage</t>
  </si>
  <si>
    <r>
      <t>Reste pour vivre du ménage et par UC</t>
    </r>
    <r>
      <rPr>
        <b/>
        <sz val="9"/>
        <rFont val="Calibri"/>
        <family val="2"/>
        <scheme val="minor"/>
      </rPr>
      <t>(2)</t>
    </r>
  </si>
  <si>
    <r>
      <t>Reste pour vivre du ménage et par UC</t>
    </r>
    <r>
      <rPr>
        <b/>
        <sz val="10"/>
        <rFont val="Calibri"/>
        <family val="2"/>
        <scheme val="minor"/>
      </rPr>
      <t>(2)</t>
    </r>
  </si>
  <si>
    <t>Simulateur coût d'usage version 2 - Avril 2020</t>
  </si>
  <si>
    <t xml:space="preserve">Simulation coût d'usage - Feuille de saisie pour des maisons individuelles ou maisons divisées en plusieurs logements </t>
  </si>
  <si>
    <t>Simulation coût d'usage - Feuille de saisie pour des immeubles ou lots de copropriété</t>
  </si>
  <si>
    <t>Evaluation du coût d'usage après travaux - immeubles ou lots de copropriété</t>
  </si>
  <si>
    <t xml:space="preserve">Evaluation du coût d'usage après travaux - maisons individuelles </t>
  </si>
  <si>
    <r>
      <rPr>
        <b/>
        <u/>
        <sz val="12"/>
        <color theme="1"/>
        <rFont val="Calibri"/>
        <family val="2"/>
        <scheme val="minor"/>
      </rPr>
      <t>Chèque Energie :</t>
    </r>
    <r>
      <rPr>
        <sz val="11"/>
        <color theme="1"/>
        <rFont val="Calibri"/>
        <family val="2"/>
        <scheme val="minor"/>
      </rPr>
      <t xml:space="preserve">
Le chèque énergie a remplacé les tarifs sociaux de l'électricité et du gaz (TPN/TSS). Il est attribué sur la base d’un critère fiscal unique, en tenant compte du revenu fiscal de référence du ménage. Il permet aux ménages bénéficiaires de régler des factures d’énergie (électricité, gaz, fioul, bois…) ou de financer une partie des travaux d’économies d’énergie qu’ils engagent dans leur logement.
Le chèque énergie permet de faire bénéficier de protections supplémentaires auprès du fournisseur d'électricité ou de gaz naturel, si une attestation est bien renvoyée :
- Lors d'un déménagement : exonération des frais de mise en service du contrat.
- En cas d'incident de paiement :
    ° maintien de la puissance électrique pendant la période de trève hivernale (du 1er novembre au 31 mars)
    ° réduction des frais liés à une intervention en cas d'impayés (réduction de puissance ou suspension d'alimentation)
    ° exonération, le cas échéant, des frais liés à un rejet de paiement.
Dans les onglets Résultats, il est indiqué de manière séparée du reste puisque le versement de ce chèque ne se fait qu'en une seule fois, il est donc difficile de l'indiquer comme ressource mensuelle.
</t>
    </r>
  </si>
  <si>
    <r>
      <rPr>
        <b/>
        <u/>
        <sz val="12"/>
        <color theme="1"/>
        <rFont val="Calibri"/>
        <family val="2"/>
        <scheme val="minor"/>
      </rPr>
      <t>Ressources :</t>
    </r>
    <r>
      <rPr>
        <sz val="11"/>
        <color theme="1"/>
        <rFont val="Calibri"/>
        <family val="2"/>
        <scheme val="minor"/>
      </rPr>
      <t xml:space="preserve">
Des ressources type sont indiquées : RSA Socle / RSA Parent isolé / Allocation Adulte Handicapé / ASPA / SMIC net 35h (1 227 €) / Salaire 300 € / Salaire 600 € / Salaire 900 €.
Les montants du RSA (socle ou parent isolé) est indiqué sans l'allocation logement.
Si le ménage est composé de 2 adultes mais qu'un seul a des revenus, il faut impérativement indiquer "Sans ressources" pour le 2nd adulte, cela permet de le compter comme un adulte et pas comme un enfant de + de 14ans.
Les salaires indiqués (SMIC/300€/600€/900€) peuvent être utilisé pour indiquer une pension de retraite ou d'invalidité.</t>
    </r>
  </si>
  <si>
    <r>
      <t xml:space="preserve">rénovation RT existante (avant 2018) : 
isolation toiture : </t>
    </r>
    <r>
      <rPr>
        <sz val="10"/>
        <rFont val="Calibri"/>
        <family val="2"/>
      </rPr>
      <t>≈15</t>
    </r>
    <r>
      <rPr>
        <sz val="10"/>
        <rFont val="Arial"/>
        <family val="2"/>
      </rPr>
      <t xml:space="preserve"> cm ( R&gt;4)
menuiseries double vitrages (U</t>
    </r>
    <r>
      <rPr>
        <vertAlign val="subscript"/>
        <sz val="10"/>
        <rFont val="Arial"/>
        <family val="2"/>
      </rPr>
      <t>w</t>
    </r>
    <r>
      <rPr>
        <sz val="10"/>
        <rFont val="Arial"/>
        <family val="2"/>
      </rPr>
      <t>&lt; 2,3)
isolant des murs : ≈9 cm ( R&gt;2 ,3)</t>
    </r>
  </si>
  <si>
    <t>changement des fenêtres (Uw &lt; 2,3) :</t>
  </si>
  <si>
    <t>Isolation plancher bas RDC ou plancher haut cave du bâtiment après sa construction  ≈ 10 cm (R &gt; 2) :</t>
  </si>
  <si>
    <t>Isolation par l'extérieur du bâtiment après sa construction ≈ 9 cm (R &gt; 2 ,3) :</t>
  </si>
  <si>
    <t>Isolation toiture du bâtiment après sa construction ≈ 15 cm (R &gt; 4) :</t>
  </si>
  <si>
    <t>Un principe de base de la feuille est que toutes les cellules oranges sont à renseigner directement, les cellules bleues à renseigner parmi une liste déroulante et les cellules saumons sont bloquées. Pour les listes déroulantes, quand vous sélectionnez la cellule, une flèche apparait à droite de celle-ci. Cliquez ensuite sur la flèche et la liste apparaitra. Cliquez ainsi sur la proposition de votre choix.</t>
  </si>
  <si>
    <t>Isolation par l'intérieur de l'appartement prévue ≈ 14 cm (R &gt; 3,7)</t>
  </si>
  <si>
    <t>logt2</t>
  </si>
  <si>
    <t>logt4</t>
  </si>
  <si>
    <t>logt5</t>
  </si>
  <si>
    <t>logement2</t>
  </si>
  <si>
    <t>logement3</t>
  </si>
  <si>
    <t>logement4</t>
  </si>
  <si>
    <t>logement5</t>
  </si>
  <si>
    <t>logt 4</t>
  </si>
  <si>
    <t>logt 5</t>
  </si>
  <si>
    <t>plancher chauffant électrique</t>
  </si>
  <si>
    <t>convecteur électrique + de 10 ans</t>
  </si>
  <si>
    <t>convecteur électrique - de 10 ans</t>
  </si>
  <si>
    <t>puissance retenue</t>
  </si>
  <si>
    <t>Coût Total mensuel charges hors fluides énergies et eau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</si>
</sst>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0\ &quot;€&quot;;[Red]\-#,##0\ &quot;€&quot;"/>
    <numFmt numFmtId="44" formatCode="_-* #,##0.00\ &quot;€&quot;_-;\-* #,##0.00\ &quot;€&quot;_-;_-* &quot;-&quot;??\ &quot;€&quot;_-;_-@_-"/>
    <numFmt numFmtId="43" formatCode="_-* #,##0.00\ _€_-;\-* #,##0.00\ _€_-;_-* &quot;-&quot;??\ _€_-;_-@_-"/>
    <numFmt numFmtId="164" formatCode="0.000"/>
    <numFmt numFmtId="165" formatCode="_-* #,##0\ &quot;€&quot;_-;\-* #,##0\ &quot;€&quot;_-;_-* &quot;-&quot;??\ &quot;€&quot;_-;_-@_-"/>
    <numFmt numFmtId="166" formatCode="_-* #,##0\ [$€-40C]_-;\-* #,##0\ [$€-40C]_-;_-* &quot;-&quot;??\ [$€-40C]_-;_-@_-"/>
    <numFmt numFmtId="167" formatCode="_-* #,##0\ _€_-;\-* #,##0\ _€_-;_-* &quot;-&quot;??\ _€_-;_-@_-"/>
  </numFmts>
  <fonts count="41" x14ac:knownFonts="1">
    <font>
      <sz val="11"/>
      <color theme="1"/>
      <name val="Calibri"/>
      <family val="2"/>
      <scheme val="minor"/>
    </font>
    <font>
      <sz val="10"/>
      <name val="Arial"/>
      <family val="2"/>
    </font>
    <font>
      <sz val="8"/>
      <name val="Arial"/>
      <family val="2"/>
    </font>
    <font>
      <b/>
      <vertAlign val="superscript"/>
      <sz val="10"/>
      <name val="Arial"/>
      <family val="2"/>
    </font>
    <font>
      <vertAlign val="superscript"/>
      <sz val="10"/>
      <name val="Arial"/>
      <family val="2"/>
    </font>
    <font>
      <sz val="10"/>
      <name val="Calibri"/>
      <family val="2"/>
    </font>
    <font>
      <vertAlign val="subscript"/>
      <sz val="10"/>
      <name val="Arial"/>
      <family val="2"/>
    </font>
    <font>
      <b/>
      <sz val="11"/>
      <color indexed="8"/>
      <name val="Calibri"/>
      <family val="2"/>
    </font>
    <font>
      <b/>
      <vertAlign val="superscript"/>
      <sz val="11"/>
      <color indexed="8"/>
      <name val="Calibri"/>
      <family val="2"/>
    </font>
    <font>
      <vertAlign val="superscript"/>
      <sz val="11"/>
      <color indexed="8"/>
      <name val="Calibri"/>
      <family val="2"/>
    </font>
    <font>
      <sz val="11"/>
      <color theme="1"/>
      <name val="Calibri"/>
      <family val="2"/>
      <scheme val="minor"/>
    </font>
    <font>
      <sz val="9"/>
      <color theme="1"/>
      <name val="Calibri"/>
      <family val="2"/>
      <scheme val="minor"/>
    </font>
    <font>
      <sz val="8"/>
      <color theme="1"/>
      <name val="Calibri"/>
      <family val="2"/>
      <scheme val="minor"/>
    </font>
    <font>
      <b/>
      <sz val="11"/>
      <color theme="1"/>
      <name val="Calibri"/>
      <family val="2"/>
      <scheme val="minor"/>
    </font>
    <font>
      <sz val="10"/>
      <color theme="1"/>
      <name val="Calibri"/>
      <family val="2"/>
      <scheme val="minor"/>
    </font>
    <font>
      <sz val="10"/>
      <color theme="1"/>
      <name val="Arial"/>
      <family val="2"/>
    </font>
    <font>
      <b/>
      <sz val="8"/>
      <color theme="1"/>
      <name val="Calibri"/>
      <family val="2"/>
      <scheme val="minor"/>
    </font>
    <font>
      <b/>
      <sz val="24"/>
      <color theme="3"/>
      <name val="Calibri"/>
      <family val="2"/>
      <scheme val="minor"/>
    </font>
    <font>
      <sz val="12"/>
      <color theme="1"/>
      <name val="Calibri"/>
      <family val="2"/>
      <scheme val="minor"/>
    </font>
    <font>
      <b/>
      <sz val="10"/>
      <color theme="1"/>
      <name val="Calibri"/>
      <family val="2"/>
      <scheme val="minor"/>
    </font>
    <font>
      <b/>
      <sz val="12"/>
      <color theme="1"/>
      <name val="Calibri"/>
      <family val="2"/>
      <scheme val="minor"/>
    </font>
    <font>
      <b/>
      <sz val="11"/>
      <color rgb="FFFF0000"/>
      <name val="Calibri"/>
      <family val="2"/>
      <scheme val="minor"/>
    </font>
    <font>
      <b/>
      <sz val="11"/>
      <name val="Calibri"/>
      <family val="2"/>
      <scheme val="minor"/>
    </font>
    <font>
      <u/>
      <sz val="8.8000000000000007"/>
      <color theme="10"/>
      <name val="Calibri"/>
      <family val="2"/>
    </font>
    <font>
      <u/>
      <sz val="11"/>
      <color theme="10"/>
      <name val="Calibri"/>
      <family val="2"/>
    </font>
    <font>
      <u/>
      <sz val="11"/>
      <color theme="1"/>
      <name val="Calibri"/>
      <family val="2"/>
      <scheme val="minor"/>
    </font>
    <font>
      <b/>
      <u/>
      <sz val="12"/>
      <color rgb="FF002060"/>
      <name val="Calibri"/>
      <family val="2"/>
      <scheme val="minor"/>
    </font>
    <font>
      <b/>
      <u/>
      <sz val="12"/>
      <color theme="1"/>
      <name val="Calibri"/>
      <family val="2"/>
      <scheme val="minor"/>
    </font>
    <font>
      <b/>
      <u/>
      <sz val="8.8000000000000007"/>
      <color theme="10"/>
      <name val="Calibri"/>
      <family val="2"/>
    </font>
    <font>
      <b/>
      <u/>
      <sz val="11"/>
      <color theme="1"/>
      <name val="Calibri"/>
      <family val="2"/>
      <scheme val="minor"/>
    </font>
    <font>
      <b/>
      <sz val="14"/>
      <name val="Calibri"/>
      <family val="2"/>
      <scheme val="minor"/>
    </font>
    <font>
      <b/>
      <sz val="14"/>
      <color theme="7" tint="-0.499984740745262"/>
      <name val="Calibri"/>
      <family val="2"/>
      <scheme val="minor"/>
    </font>
    <font>
      <b/>
      <sz val="20"/>
      <color theme="7" tint="-0.499984740745262"/>
      <name val="Calibri"/>
      <family val="2"/>
      <scheme val="minor"/>
    </font>
    <font>
      <b/>
      <u/>
      <sz val="12"/>
      <color theme="7" tint="-0.499984740745262"/>
      <name val="Calibri"/>
      <family val="2"/>
      <scheme val="minor"/>
    </font>
    <font>
      <b/>
      <sz val="10"/>
      <name val="Calibri"/>
      <family val="2"/>
      <scheme val="minor"/>
    </font>
    <font>
      <b/>
      <sz val="9"/>
      <name val="Calibri"/>
      <family val="2"/>
      <scheme val="minor"/>
    </font>
    <font>
      <sz val="11"/>
      <name val="Calibri"/>
      <family val="2"/>
      <scheme val="minor"/>
    </font>
    <font>
      <b/>
      <i/>
      <sz val="14"/>
      <name val="Calibri"/>
      <family val="2"/>
      <scheme val="minor"/>
    </font>
    <font>
      <b/>
      <sz val="24"/>
      <color theme="0"/>
      <name val="Calibri"/>
      <family val="2"/>
      <scheme val="minor"/>
    </font>
    <font>
      <b/>
      <sz val="16"/>
      <color theme="0"/>
      <name val="Calibri"/>
      <family val="2"/>
      <scheme val="minor"/>
    </font>
    <font>
      <b/>
      <sz val="12"/>
      <color theme="0"/>
      <name val="Calibri"/>
      <family val="2"/>
      <scheme val="minor"/>
    </font>
  </fonts>
  <fills count="22">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8"/>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9" tint="-4.9989318521683403E-2"/>
        <bgColor indexed="64"/>
      </patternFill>
    </fill>
    <fill>
      <patternFill patternType="solid">
        <fgColor rgb="FF00206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ck">
        <color indexed="64"/>
      </top>
      <bottom style="thin">
        <color indexed="64"/>
      </bottom>
      <diagonal/>
    </border>
    <border>
      <left style="thick">
        <color indexed="64"/>
      </left>
      <right/>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44" fontId="10" fillId="0" borderId="0" applyFont="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alignment vertical="top"/>
      <protection locked="0"/>
    </xf>
    <xf numFmtId="43" fontId="10" fillId="0" borderId="0" applyFont="0" applyFill="0" applyBorder="0" applyAlignment="0" applyProtection="0"/>
  </cellStyleXfs>
  <cellXfs count="424">
    <xf numFmtId="0" fontId="0" fillId="0" borderId="0" xfId="0"/>
    <xf numFmtId="0" fontId="0" fillId="0" borderId="1" xfId="0" applyBorder="1"/>
    <xf numFmtId="0" fontId="1" fillId="0" borderId="1" xfId="0" applyFont="1" applyBorder="1"/>
    <xf numFmtId="44" fontId="10" fillId="0" borderId="1" xfId="1" applyFont="1" applyBorder="1"/>
    <xf numFmtId="0" fontId="0" fillId="0" borderId="0" xfId="0" applyBorder="1"/>
    <xf numFmtId="0" fontId="0" fillId="0" borderId="0" xfId="0" applyProtection="1">
      <protection hidden="1"/>
    </xf>
    <xf numFmtId="0" fontId="0" fillId="0" borderId="1" xfId="0" applyBorder="1" applyAlignment="1" applyProtection="1">
      <alignment horizontal="center" vertical="center"/>
      <protection hidden="1"/>
    </xf>
    <xf numFmtId="0" fontId="1" fillId="0" borderId="1" xfId="0" applyFont="1" applyBorder="1" applyAlignment="1" applyProtection="1">
      <alignment vertical="top" wrapText="1"/>
      <protection hidden="1"/>
    </xf>
    <xf numFmtId="0" fontId="0" fillId="0" borderId="1" xfId="0" applyBorder="1" applyProtection="1">
      <protection hidden="1"/>
    </xf>
    <xf numFmtId="0" fontId="0" fillId="0" borderId="0" xfId="0" applyBorder="1" applyProtection="1">
      <protection hidden="1"/>
    </xf>
    <xf numFmtId="0" fontId="0" fillId="0" borderId="2" xfId="0" applyNumberFormat="1" applyBorder="1" applyProtection="1">
      <protection hidden="1"/>
    </xf>
    <xf numFmtId="0" fontId="0" fillId="0" borderId="3" xfId="0" applyBorder="1" applyProtection="1">
      <protection hidden="1"/>
    </xf>
    <xf numFmtId="0" fontId="12" fillId="0" borderId="0" xfId="0" applyFont="1" applyAlignment="1" applyProtection="1">
      <alignment wrapText="1"/>
      <protection hidden="1"/>
    </xf>
    <xf numFmtId="1" fontId="0" fillId="0" borderId="1" xfId="0" applyNumberFormat="1" applyBorder="1" applyProtection="1">
      <protection hidden="1"/>
    </xf>
    <xf numFmtId="1" fontId="0" fillId="0" borderId="1" xfId="0" applyNumberFormat="1" applyBorder="1" applyAlignment="1" applyProtection="1">
      <alignment horizontal="right" indent="2"/>
      <protection hidden="1"/>
    </xf>
    <xf numFmtId="1" fontId="0" fillId="0" borderId="0" xfId="0" applyNumberFormat="1" applyBorder="1" applyProtection="1">
      <protection hidden="1"/>
    </xf>
    <xf numFmtId="1" fontId="0" fillId="0" borderId="1" xfId="0" applyNumberFormat="1" applyBorder="1" applyAlignment="1" applyProtection="1">
      <alignment horizontal="right"/>
      <protection hidden="1"/>
    </xf>
    <xf numFmtId="0" fontId="0" fillId="0" borderId="1" xfId="0" applyFill="1" applyBorder="1" applyAlignment="1" applyProtection="1">
      <alignment horizontal="center"/>
      <protection hidden="1"/>
    </xf>
    <xf numFmtId="0" fontId="1" fillId="0" borderId="1" xfId="0" applyFont="1" applyBorder="1" applyProtection="1">
      <protection hidden="1"/>
    </xf>
    <xf numFmtId="0" fontId="1" fillId="0" borderId="0" xfId="0" applyFont="1" applyBorder="1" applyAlignment="1" applyProtection="1">
      <protection hidden="1"/>
    </xf>
    <xf numFmtId="0" fontId="1" fillId="0" borderId="1" xfId="0" applyFont="1" applyBorder="1" applyAlignment="1" applyProtection="1">
      <protection hidden="1"/>
    </xf>
    <xf numFmtId="0" fontId="1" fillId="0" borderId="1" xfId="0" applyFont="1" applyBorder="1" applyAlignment="1" applyProtection="1">
      <alignment horizontal="right"/>
      <protection hidden="1"/>
    </xf>
    <xf numFmtId="0" fontId="1" fillId="0" borderId="0" xfId="0" applyFont="1" applyBorder="1" applyProtection="1">
      <protection hidden="1"/>
    </xf>
    <xf numFmtId="2" fontId="0" fillId="0" borderId="1" xfId="0" applyNumberFormat="1" applyBorder="1" applyAlignment="1" applyProtection="1">
      <alignment horizontal="right"/>
      <protection hidden="1"/>
    </xf>
    <xf numFmtId="2" fontId="0" fillId="0" borderId="1" xfId="0" applyNumberFormat="1" applyBorder="1" applyProtection="1">
      <protection hidden="1"/>
    </xf>
    <xf numFmtId="2" fontId="0" fillId="0" borderId="0" xfId="0" applyNumberFormat="1" applyProtection="1">
      <protection hidden="1"/>
    </xf>
    <xf numFmtId="0" fontId="0" fillId="0" borderId="1" xfId="0" applyBorder="1" applyAlignment="1" applyProtection="1">
      <alignment horizontal="right"/>
      <protection hidden="1"/>
    </xf>
    <xf numFmtId="0" fontId="0" fillId="0" borderId="4" xfId="0" applyBorder="1" applyProtection="1">
      <protection hidden="1"/>
    </xf>
    <xf numFmtId="0" fontId="1" fillId="0" borderId="0" xfId="0" applyFont="1" applyAlignment="1" applyProtection="1">
      <alignment vertical="top" wrapText="1"/>
      <protection hidden="1"/>
    </xf>
    <xf numFmtId="0" fontId="0" fillId="0" borderId="5" xfId="0" applyBorder="1" applyProtection="1">
      <protection hidden="1"/>
    </xf>
    <xf numFmtId="0" fontId="10" fillId="0" borderId="0" xfId="2" applyNumberFormat="1" applyFont="1" applyProtection="1">
      <protection hidden="1"/>
    </xf>
    <xf numFmtId="164" fontId="0" fillId="0" borderId="1" xfId="0" applyNumberFormat="1" applyBorder="1" applyProtection="1">
      <protection hidden="1"/>
    </xf>
    <xf numFmtId="0" fontId="0" fillId="0" borderId="1" xfId="0" applyFill="1" applyBorder="1" applyProtection="1">
      <protection hidden="1"/>
    </xf>
    <xf numFmtId="1" fontId="0" fillId="0" borderId="0" xfId="0" applyNumberFormat="1" applyProtection="1">
      <protection hidden="1"/>
    </xf>
    <xf numFmtId="0" fontId="11" fillId="0" borderId="0" xfId="0" applyFont="1" applyAlignment="1" applyProtection="1">
      <protection hidden="1"/>
    </xf>
    <xf numFmtId="0" fontId="0" fillId="0" borderId="0" xfId="0" applyAlignment="1" applyProtection="1">
      <protection hidden="1"/>
    </xf>
    <xf numFmtId="0" fontId="1" fillId="0" borderId="7" xfId="0" applyFont="1" applyBorder="1" applyProtection="1">
      <protection hidden="1"/>
    </xf>
    <xf numFmtId="0" fontId="1" fillId="0" borderId="8" xfId="0" applyFont="1" applyBorder="1" applyProtection="1">
      <protection hidden="1"/>
    </xf>
    <xf numFmtId="0" fontId="1" fillId="0" borderId="9" xfId="0" applyFont="1" applyBorder="1" applyProtection="1">
      <protection hidden="1"/>
    </xf>
    <xf numFmtId="0" fontId="10" fillId="0" borderId="1" xfId="1" applyNumberFormat="1" applyFont="1" applyBorder="1" applyProtection="1">
      <protection hidden="1"/>
    </xf>
    <xf numFmtId="0" fontId="1" fillId="0" borderId="12" xfId="0" applyFont="1" applyBorder="1" applyProtection="1">
      <protection hidden="1"/>
    </xf>
    <xf numFmtId="0" fontId="1" fillId="0" borderId="14" xfId="0" applyFont="1" applyBorder="1" applyProtection="1">
      <protection hidden="1"/>
    </xf>
    <xf numFmtId="0" fontId="0" fillId="0" borderId="1" xfId="0" applyFont="1" applyFill="1" applyBorder="1" applyProtection="1">
      <protection hidden="1"/>
    </xf>
    <xf numFmtId="0" fontId="0" fillId="0" borderId="1" xfId="0" applyNumberFormat="1" applyBorder="1" applyProtection="1">
      <protection hidden="1"/>
    </xf>
    <xf numFmtId="0" fontId="0" fillId="0" borderId="1" xfId="0" applyBorder="1" applyAlignment="1">
      <alignment horizontal="center"/>
    </xf>
    <xf numFmtId="0" fontId="0" fillId="0" borderId="0" xfId="0" applyAlignment="1">
      <alignment wrapText="1"/>
    </xf>
    <xf numFmtId="0" fontId="0" fillId="0" borderId="5" xfId="0" applyBorder="1" applyAlignment="1">
      <alignment vertical="center"/>
    </xf>
    <xf numFmtId="0" fontId="0" fillId="0" borderId="13" xfId="0" applyBorder="1" applyAlignment="1">
      <alignment vertical="center"/>
    </xf>
    <xf numFmtId="0" fontId="0" fillId="0" borderId="1" xfId="0" applyBorder="1" applyAlignment="1">
      <alignment vertical="center" textRotation="255"/>
    </xf>
    <xf numFmtId="0" fontId="0" fillId="0" borderId="3" xfId="0" applyBorder="1" applyAlignment="1">
      <alignment horizontal="center"/>
    </xf>
    <xf numFmtId="1" fontId="0" fillId="0" borderId="1" xfId="0" applyNumberFormat="1" applyBorder="1" applyAlignment="1">
      <alignment horizontal="center"/>
    </xf>
    <xf numFmtId="0" fontId="0" fillId="0" borderId="5" xfId="0" applyBorder="1"/>
    <xf numFmtId="0" fontId="0" fillId="0" borderId="21" xfId="0" applyBorder="1"/>
    <xf numFmtId="0" fontId="0" fillId="0" borderId="1" xfId="0"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22" xfId="0" applyBorder="1"/>
    <xf numFmtId="0" fontId="0" fillId="0" borderId="5" xfId="0" applyBorder="1" applyAlignment="1" applyProtection="1">
      <alignment horizontal="center" vertical="center" wrapText="1"/>
      <protection hidden="1"/>
    </xf>
    <xf numFmtId="0" fontId="0" fillId="0" borderId="21" xfId="0" applyBorder="1" applyAlignment="1">
      <alignment horizontal="center" vertical="center" wrapText="1"/>
    </xf>
    <xf numFmtId="0" fontId="1" fillId="0" borderId="23" xfId="0" applyFont="1" applyBorder="1" applyAlignment="1" applyProtection="1">
      <protection hidden="1"/>
    </xf>
    <xf numFmtId="2" fontId="0" fillId="0" borderId="0" xfId="0" applyNumberFormat="1" applyBorder="1" applyProtection="1">
      <protection hidden="1"/>
    </xf>
    <xf numFmtId="0" fontId="1" fillId="0" borderId="17" xfId="0" applyFont="1" applyBorder="1" applyProtection="1">
      <protection hidden="1"/>
    </xf>
    <xf numFmtId="0" fontId="1" fillId="0" borderId="20" xfId="0" applyFont="1" applyBorder="1" applyProtection="1">
      <protection hidden="1"/>
    </xf>
    <xf numFmtId="0" fontId="0" fillId="0" borderId="24" xfId="0" applyBorder="1"/>
    <xf numFmtId="0" fontId="0" fillId="0" borderId="25" xfId="0" applyBorder="1"/>
    <xf numFmtId="0" fontId="0" fillId="0" borderId="26" xfId="0" applyBorder="1" applyAlignment="1">
      <alignment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8" xfId="0" applyBorder="1"/>
    <xf numFmtId="0" fontId="1" fillId="6" borderId="29" xfId="0" applyFont="1" applyFill="1" applyBorder="1" applyAlignment="1" applyProtection="1">
      <alignment horizontal="right"/>
      <protection hidden="1"/>
    </xf>
    <xf numFmtId="0" fontId="1" fillId="7" borderId="28" xfId="0" applyFont="1" applyFill="1" applyBorder="1" applyAlignment="1" applyProtection="1">
      <alignment horizontal="center" vertical="center" wrapText="1"/>
      <protection hidden="1"/>
    </xf>
    <xf numFmtId="0" fontId="0" fillId="7" borderId="26" xfId="0" applyFill="1" applyBorder="1" applyAlignment="1" applyProtection="1">
      <alignment horizontal="center" vertical="center" wrapText="1"/>
      <protection hidden="1"/>
    </xf>
    <xf numFmtId="0" fontId="0" fillId="3" borderId="28" xfId="0" applyFill="1" applyBorder="1" applyAlignment="1">
      <alignment wrapText="1"/>
    </xf>
    <xf numFmtId="0" fontId="0" fillId="3" borderId="27" xfId="0" applyFill="1" applyBorder="1" applyAlignment="1">
      <alignment wrapText="1"/>
    </xf>
    <xf numFmtId="0" fontId="0" fillId="3" borderId="26" xfId="0" applyFill="1" applyBorder="1" applyAlignment="1">
      <alignment wrapText="1"/>
    </xf>
    <xf numFmtId="0" fontId="1" fillId="8" borderId="21" xfId="0" applyFont="1" applyFill="1" applyBorder="1" applyAlignment="1" applyProtection="1">
      <alignment horizontal="center" vertical="center" wrapText="1"/>
      <protection hidden="1"/>
    </xf>
    <xf numFmtId="0" fontId="1" fillId="8" borderId="1" xfId="0" applyFont="1" applyFill="1" applyBorder="1" applyAlignment="1" applyProtection="1">
      <alignment horizontal="center" vertical="center" wrapText="1"/>
      <protection hidden="1"/>
    </xf>
    <xf numFmtId="0" fontId="1" fillId="8" borderId="22" xfId="0" applyFont="1" applyFill="1" applyBorder="1" applyAlignment="1" applyProtection="1">
      <alignment horizontal="center" vertical="center" wrapText="1"/>
      <protection hidden="1"/>
    </xf>
    <xf numFmtId="0" fontId="0" fillId="9" borderId="21" xfId="0" applyFill="1" applyBorder="1" applyAlignment="1">
      <alignment horizontal="center" vertical="center" wrapText="1"/>
    </xf>
    <xf numFmtId="0" fontId="0" fillId="9" borderId="1"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1" xfId="0" applyBorder="1" applyAlignment="1" applyProtection="1">
      <alignment horizontal="center"/>
      <protection hidden="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pplyAlignment="1" applyProtection="1">
      <protection hidden="1"/>
    </xf>
    <xf numFmtId="0" fontId="0" fillId="0" borderId="5" xfId="0" applyBorder="1" applyAlignment="1" applyProtection="1">
      <alignment horizontal="left"/>
      <protection hidden="1"/>
    </xf>
    <xf numFmtId="0" fontId="1" fillId="0" borderId="5" xfId="0" applyFont="1" applyBorder="1" applyAlignment="1">
      <alignment horizontal="center" vertical="center"/>
    </xf>
    <xf numFmtId="1" fontId="0" fillId="0" borderId="1" xfId="0" applyNumberFormat="1" applyBorder="1"/>
    <xf numFmtId="0" fontId="0" fillId="0" borderId="0" xfId="0" applyBorder="1" applyAlignment="1" applyProtection="1">
      <protection hidden="1"/>
    </xf>
    <xf numFmtId="0" fontId="0" fillId="0" borderId="0" xfId="0" applyBorder="1" applyAlignment="1" applyProtection="1">
      <alignment horizontal="left"/>
      <protection hidden="1"/>
    </xf>
    <xf numFmtId="0" fontId="0" fillId="0" borderId="5" xfId="0" applyFill="1" applyBorder="1" applyAlignment="1" applyProtection="1">
      <protection hidden="1"/>
    </xf>
    <xf numFmtId="0" fontId="0" fillId="0" borderId="6" xfId="0" applyFill="1" applyBorder="1" applyAlignment="1" applyProtection="1">
      <protection hidden="1"/>
    </xf>
    <xf numFmtId="0" fontId="0" fillId="0" borderId="13" xfId="0" applyFill="1" applyBorder="1" applyAlignment="1" applyProtection="1">
      <protection hidden="1"/>
    </xf>
    <xf numFmtId="0" fontId="0" fillId="0" borderId="21" xfId="0" applyBorder="1" applyAlignment="1">
      <alignment horizontal="center" vertical="center"/>
    </xf>
    <xf numFmtId="44" fontId="10" fillId="0" borderId="22" xfId="1" applyFont="1" applyBorder="1"/>
    <xf numFmtId="44" fontId="10" fillId="0" borderId="22" xfId="1" applyFont="1" applyBorder="1" applyAlignment="1">
      <alignment horizontal="right"/>
    </xf>
    <xf numFmtId="44" fontId="0" fillId="0" borderId="5" xfId="0" applyNumberFormat="1" applyBorder="1"/>
    <xf numFmtId="1" fontId="0" fillId="0" borderId="0" xfId="0" applyNumberFormat="1"/>
    <xf numFmtId="0" fontId="0" fillId="0" borderId="0" xfId="0" applyFill="1" applyBorder="1" applyProtection="1">
      <protection hidden="1"/>
    </xf>
    <xf numFmtId="44" fontId="10" fillId="0" borderId="0" xfId="1" applyFont="1" applyFill="1" applyBorder="1" applyProtection="1">
      <protection hidden="1"/>
    </xf>
    <xf numFmtId="44" fontId="0" fillId="0" borderId="0" xfId="0" applyNumberFormat="1" applyFill="1" applyBorder="1" applyProtection="1">
      <protection hidden="1"/>
    </xf>
    <xf numFmtId="0" fontId="0" fillId="0" borderId="0" xfId="0" applyNumberFormat="1" applyFill="1" applyBorder="1" applyProtection="1">
      <protection hidden="1"/>
    </xf>
    <xf numFmtId="0" fontId="10" fillId="0" borderId="0" xfId="2" applyNumberFormat="1" applyFont="1" applyFill="1" applyBorder="1" applyProtection="1">
      <protection hidden="1"/>
    </xf>
    <xf numFmtId="0" fontId="0" fillId="0" borderId="0" xfId="0" applyAlignment="1">
      <alignment horizontal="center" vertical="center"/>
    </xf>
    <xf numFmtId="0" fontId="0" fillId="0" borderId="4" xfId="0" applyBorder="1"/>
    <xf numFmtId="0" fontId="24" fillId="0" borderId="0" xfId="3" applyFont="1" applyAlignment="1" applyProtection="1"/>
    <xf numFmtId="0" fontId="0" fillId="6" borderId="36"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3" xfId="0" applyFill="1" applyBorder="1" applyAlignment="1">
      <alignment horizontal="center" vertical="center" wrapText="1"/>
    </xf>
    <xf numFmtId="0" fontId="0" fillId="0" borderId="1" xfId="0" applyBorder="1" applyAlignment="1">
      <alignment horizont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1" xfId="0" applyBorder="1" applyAlignment="1">
      <alignment horizontal="center" vertical="center" wrapText="1"/>
    </xf>
    <xf numFmtId="166" fontId="0" fillId="0" borderId="0" xfId="0" applyNumberFormat="1" applyProtection="1">
      <protection hidden="1"/>
    </xf>
    <xf numFmtId="0" fontId="0" fillId="0" borderId="0" xfId="0" applyAlignment="1">
      <alignment vertical="center"/>
    </xf>
    <xf numFmtId="0" fontId="23" fillId="0" borderId="0" xfId="3" applyAlignment="1" applyProtection="1">
      <alignment vertical="center"/>
    </xf>
    <xf numFmtId="0" fontId="0" fillId="0" borderId="40" xfId="0" applyBorder="1" applyAlignment="1">
      <alignment vertical="center"/>
    </xf>
    <xf numFmtId="6" fontId="0" fillId="0" borderId="40" xfId="0" applyNumberFormat="1" applyBorder="1" applyAlignment="1">
      <alignment vertical="center"/>
    </xf>
    <xf numFmtId="0" fontId="0" fillId="0" borderId="40" xfId="0" applyBorder="1" applyAlignment="1">
      <alignment vertical="center" wrapText="1"/>
    </xf>
    <xf numFmtId="0" fontId="0" fillId="0" borderId="0" xfId="0" applyAlignment="1">
      <alignment vertical="center" wrapText="1"/>
    </xf>
    <xf numFmtId="0" fontId="0" fillId="0" borderId="1" xfId="0" applyBorder="1" applyAlignment="1">
      <alignment vertical="center"/>
    </xf>
    <xf numFmtId="0" fontId="0" fillId="0" borderId="0" xfId="0" applyAlignment="1" applyProtection="1">
      <alignment vertical="center"/>
      <protection locked="0"/>
    </xf>
    <xf numFmtId="0" fontId="0" fillId="0" borderId="0" xfId="0" applyAlignment="1" applyProtection="1">
      <alignment wrapText="1"/>
      <protection hidden="1"/>
    </xf>
    <xf numFmtId="166" fontId="0" fillId="3" borderId="0" xfId="0" applyNumberFormat="1" applyFill="1" applyProtection="1">
      <protection hidden="1"/>
    </xf>
    <xf numFmtId="0" fontId="0" fillId="13" borderId="1" xfId="0" applyFill="1" applyBorder="1" applyAlignment="1" applyProtection="1">
      <alignment horizontal="center" vertical="center" wrapText="1"/>
      <protection locked="0"/>
    </xf>
    <xf numFmtId="0" fontId="14" fillId="13" borderId="1" xfId="0" applyFont="1" applyFill="1" applyBorder="1" applyAlignment="1" applyProtection="1">
      <alignment horizontal="center" vertical="center" wrapText="1"/>
      <protection locked="0"/>
    </xf>
    <xf numFmtId="165" fontId="0" fillId="13" borderId="1" xfId="1" applyNumberFormat="1" applyFont="1" applyFill="1" applyBorder="1" applyAlignment="1" applyProtection="1">
      <alignment horizontal="center" vertical="center" wrapText="1"/>
      <protection locked="0"/>
    </xf>
    <xf numFmtId="0" fontId="0" fillId="0" borderId="0" xfId="0" applyFill="1"/>
    <xf numFmtId="1" fontId="0" fillId="0" borderId="1" xfId="0" applyNumberFormat="1" applyBorder="1" applyAlignment="1">
      <alignment horizontal="center" vertical="center"/>
    </xf>
    <xf numFmtId="0" fontId="17" fillId="0" borderId="0" xfId="0" applyFont="1" applyBorder="1" applyAlignment="1" applyProtection="1">
      <protection hidden="1"/>
    </xf>
    <xf numFmtId="0" fontId="14" fillId="14" borderId="1" xfId="0" applyFont="1" applyFill="1" applyBorder="1" applyAlignment="1">
      <alignment horizontal="center" vertical="center" wrapText="1"/>
    </xf>
    <xf numFmtId="0" fontId="23" fillId="0" borderId="0" xfId="3" applyAlignment="1" applyProtection="1">
      <protection hidden="1"/>
    </xf>
    <xf numFmtId="0" fontId="0" fillId="13" borderId="37" xfId="0" applyFill="1" applyBorder="1" applyAlignment="1" applyProtection="1">
      <alignment horizontal="center" vertical="center" wrapText="1"/>
      <protection locked="0"/>
    </xf>
    <xf numFmtId="0" fontId="0" fillId="0" borderId="41" xfId="0" applyBorder="1" applyAlignment="1">
      <alignment vertical="center"/>
    </xf>
    <xf numFmtId="6" fontId="0" fillId="0" borderId="42" xfId="0" applyNumberFormat="1" applyBorder="1" applyAlignment="1">
      <alignment vertical="center"/>
    </xf>
    <xf numFmtId="6" fontId="0" fillId="0" borderId="41" xfId="0" applyNumberFormat="1" applyBorder="1" applyAlignment="1">
      <alignment vertical="center"/>
    </xf>
    <xf numFmtId="6" fontId="0" fillId="0" borderId="1" xfId="0" applyNumberFormat="1" applyBorder="1" applyAlignment="1">
      <alignment vertical="center"/>
    </xf>
    <xf numFmtId="0" fontId="0" fillId="0" borderId="0" xfId="0" applyAlignment="1">
      <alignment horizontal="left" vertical="top" wrapText="1"/>
    </xf>
    <xf numFmtId="167" fontId="0" fillId="0" borderId="1" xfId="4" applyNumberFormat="1" applyFont="1" applyBorder="1"/>
    <xf numFmtId="0" fontId="14" fillId="0" borderId="0" xfId="0" applyFont="1" applyBorder="1" applyAlignment="1">
      <alignment vertical="center" wrapText="1"/>
    </xf>
    <xf numFmtId="0" fontId="13" fillId="13" borderId="1" xfId="0" applyFont="1" applyFill="1" applyBorder="1" applyAlignment="1" applyProtection="1">
      <alignment horizontal="center" vertical="center" wrapText="1"/>
      <protection locked="0"/>
    </xf>
    <xf numFmtId="0" fontId="0" fillId="0" borderId="0" xfId="0" applyAlignment="1">
      <alignment vertical="top"/>
    </xf>
    <xf numFmtId="0" fontId="26" fillId="0" borderId="0" xfId="0" applyFont="1" applyAlignment="1">
      <alignment vertical="top"/>
    </xf>
    <xf numFmtId="0" fontId="27" fillId="0" borderId="0" xfId="0" applyFont="1" applyAlignment="1" applyProtection="1">
      <protection hidden="1"/>
    </xf>
    <xf numFmtId="166" fontId="0" fillId="0" borderId="1" xfId="0" applyNumberFormat="1" applyBorder="1" applyProtection="1">
      <protection hidden="1"/>
    </xf>
    <xf numFmtId="0" fontId="0" fillId="12" borderId="1" xfId="0" applyFill="1" applyBorder="1" applyProtection="1">
      <protection hidden="1"/>
    </xf>
    <xf numFmtId="0" fontId="0" fillId="12" borderId="1" xfId="0" applyFill="1" applyBorder="1" applyAlignment="1" applyProtection="1">
      <alignment wrapText="1"/>
      <protection hidden="1"/>
    </xf>
    <xf numFmtId="0" fontId="0" fillId="12" borderId="40" xfId="0" applyFill="1" applyBorder="1" applyAlignment="1">
      <alignment vertical="center"/>
    </xf>
    <xf numFmtId="0" fontId="28" fillId="0" borderId="0" xfId="3" applyFont="1" applyAlignment="1" applyProtection="1">
      <alignment vertical="top"/>
    </xf>
    <xf numFmtId="0" fontId="0" fillId="0" borderId="0" xfId="0" applyAlignment="1" applyProtection="1">
      <alignment wrapText="1"/>
    </xf>
    <xf numFmtId="0" fontId="0" fillId="0" borderId="19"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0" xfId="0"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7" xfId="0"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12" borderId="5" xfId="0" applyFont="1" applyFill="1" applyBorder="1" applyAlignment="1" applyProtection="1">
      <alignment horizontal="center" vertical="center" wrapText="1"/>
    </xf>
    <xf numFmtId="0" fontId="0" fillId="0" borderId="0" xfId="0" applyAlignment="1" applyProtection="1">
      <alignment horizontal="left" wrapText="1"/>
    </xf>
    <xf numFmtId="0" fontId="13" fillId="12" borderId="1" xfId="0" applyFont="1" applyFill="1" applyBorder="1" applyAlignment="1" applyProtection="1">
      <alignment horizontal="center" vertical="center" wrapText="1"/>
    </xf>
    <xf numFmtId="0" fontId="13" fillId="12" borderId="2" xfId="0" applyFont="1" applyFill="1" applyBorder="1" applyAlignment="1" applyProtection="1">
      <alignment horizontal="center" vertical="center" wrapText="1"/>
    </xf>
    <xf numFmtId="0" fontId="13" fillId="12" borderId="2" xfId="0" applyFont="1" applyFill="1" applyBorder="1" applyAlignment="1" applyProtection="1">
      <alignment vertical="center" wrapText="1"/>
    </xf>
    <xf numFmtId="0" fontId="13" fillId="12" borderId="37" xfId="0" applyFont="1" applyFill="1" applyBorder="1" applyAlignment="1" applyProtection="1">
      <alignment vertical="center" wrapText="1"/>
    </xf>
    <xf numFmtId="165" fontId="0" fillId="11" borderId="1" xfId="1" applyNumberFormat="1"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0" fillId="0" borderId="1" xfId="0" applyBorder="1" applyAlignment="1" applyProtection="1">
      <alignment wrapText="1"/>
    </xf>
    <xf numFmtId="0" fontId="0" fillId="2" borderId="1" xfId="0" applyFill="1" applyBorder="1" applyAlignment="1" applyProtection="1">
      <alignment wrapText="1"/>
    </xf>
    <xf numFmtId="49" fontId="0" fillId="0" borderId="0" xfId="0" applyNumberFormat="1" applyAlignment="1" applyProtection="1"/>
    <xf numFmtId="0" fontId="0" fillId="0" borderId="0" xfId="0" applyAlignment="1" applyProtection="1"/>
    <xf numFmtId="0" fontId="0" fillId="0" borderId="0" xfId="0" applyBorder="1" applyAlignment="1" applyProtection="1">
      <alignment wrapText="1"/>
    </xf>
    <xf numFmtId="0" fontId="0" fillId="0" borderId="0" xfId="0" applyBorder="1" applyAlignment="1" applyProtection="1">
      <alignment vertical="top" wrapText="1"/>
    </xf>
    <xf numFmtId="0" fontId="0" fillId="0" borderId="0" xfId="0" applyProtection="1"/>
    <xf numFmtId="0" fontId="0" fillId="0" borderId="16" xfId="0" applyBorder="1" applyAlignment="1" applyProtection="1"/>
    <xf numFmtId="0" fontId="0" fillId="0" borderId="6" xfId="0" applyBorder="1" applyProtection="1"/>
    <xf numFmtId="0" fontId="0" fillId="0" borderId="5" xfId="0" applyBorder="1" applyAlignment="1" applyProtection="1"/>
    <xf numFmtId="0" fontId="0" fillId="0" borderId="6" xfId="0" applyBorder="1" applyAlignment="1" applyProtection="1"/>
    <xf numFmtId="0" fontId="0" fillId="0" borderId="13" xfId="0" applyBorder="1" applyProtection="1"/>
    <xf numFmtId="0" fontId="0" fillId="0" borderId="4" xfId="0"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0" xfId="0" applyBorder="1" applyProtection="1"/>
    <xf numFmtId="0" fontId="13" fillId="0" borderId="16" xfId="0" applyFont="1" applyFill="1" applyBorder="1" applyAlignment="1" applyProtection="1">
      <alignment horizontal="center" vertical="center" wrapText="1"/>
    </xf>
    <xf numFmtId="49" fontId="0" fillId="0" borderId="0" xfId="0" applyNumberFormat="1" applyProtection="1"/>
    <xf numFmtId="0" fontId="0" fillId="0" borderId="16" xfId="0" applyFill="1" applyBorder="1" applyAlignment="1" applyProtection="1">
      <alignment horizontal="center" vertical="center" wrapText="1"/>
    </xf>
    <xf numFmtId="0" fontId="10" fillId="0" borderId="0" xfId="0" applyFont="1" applyProtection="1"/>
    <xf numFmtId="0" fontId="0" fillId="0" borderId="0" xfId="0"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23" fillId="0" borderId="0" xfId="3" applyAlignment="1" applyProtection="1"/>
    <xf numFmtId="0" fontId="29" fillId="0" borderId="0" xfId="0" applyFont="1"/>
    <xf numFmtId="0" fontId="0" fillId="0" borderId="0" xfId="0" applyProtection="1">
      <protection locked="0"/>
    </xf>
    <xf numFmtId="44" fontId="0" fillId="0" borderId="0" xfId="0" applyNumberFormat="1" applyFill="1" applyBorder="1" applyAlignment="1" applyProtection="1">
      <alignment horizontal="center" vertical="center"/>
      <protection hidden="1"/>
    </xf>
    <xf numFmtId="44" fontId="0" fillId="0" borderId="0" xfId="0" applyNumberFormat="1" applyFill="1" applyBorder="1" applyAlignment="1" applyProtection="1">
      <alignment horizontal="left" vertical="center"/>
      <protection hidden="1"/>
    </xf>
    <xf numFmtId="167" fontId="0" fillId="0" borderId="0" xfId="4" applyNumberFormat="1" applyFont="1" applyBorder="1"/>
    <xf numFmtId="1" fontId="0" fillId="0" borderId="0" xfId="0" applyNumberFormat="1" applyBorder="1" applyAlignment="1">
      <alignment horizontal="center" vertical="center"/>
    </xf>
    <xf numFmtId="0" fontId="31" fillId="0" borderId="0" xfId="0" applyFont="1"/>
    <xf numFmtId="0" fontId="33" fillId="0" borderId="0" xfId="0" applyFont="1" applyAlignment="1">
      <alignment vertical="top"/>
    </xf>
    <xf numFmtId="0" fontId="18"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165" fontId="18" fillId="10" borderId="1" xfId="0" applyNumberFormat="1" applyFont="1" applyFill="1" applyBorder="1" applyAlignment="1">
      <alignment horizontal="center" vertical="center"/>
    </xf>
    <xf numFmtId="9" fontId="18" fillId="10" borderId="1" xfId="2" applyFont="1" applyFill="1" applyBorder="1" applyAlignment="1">
      <alignment horizontal="center" vertical="center"/>
    </xf>
    <xf numFmtId="165" fontId="18" fillId="10" borderId="1" xfId="1" applyNumberFormat="1" applyFont="1" applyFill="1" applyBorder="1" applyAlignment="1">
      <alignment horizontal="center" vertical="center"/>
    </xf>
    <xf numFmtId="165" fontId="20" fillId="10" borderId="1" xfId="0" applyNumberFormat="1" applyFont="1" applyFill="1" applyBorder="1" applyAlignment="1">
      <alignment horizontal="center" vertical="center"/>
    </xf>
    <xf numFmtId="0" fontId="18" fillId="10" borderId="1" xfId="0" applyNumberFormat="1" applyFont="1" applyFill="1" applyBorder="1" applyAlignment="1">
      <alignment horizontal="center" vertical="center"/>
    </xf>
    <xf numFmtId="165" fontId="20" fillId="10" borderId="1" xfId="1" applyNumberFormat="1" applyFont="1" applyFill="1" applyBorder="1" applyAlignment="1">
      <alignment horizontal="center" vertical="center"/>
    </xf>
    <xf numFmtId="9" fontId="20" fillId="10" borderId="1" xfId="2" applyFont="1" applyFill="1" applyBorder="1" applyAlignment="1">
      <alignment horizontal="center" vertical="center"/>
    </xf>
    <xf numFmtId="165" fontId="18" fillId="10" borderId="1" xfId="1" applyNumberFormat="1" applyFont="1" applyFill="1" applyBorder="1" applyAlignment="1" applyProtection="1">
      <alignment horizontal="center"/>
      <protection hidden="1"/>
    </xf>
    <xf numFmtId="165" fontId="18" fillId="10" borderId="1" xfId="0" applyNumberFormat="1" applyFont="1" applyFill="1" applyBorder="1" applyAlignment="1" applyProtection="1">
      <alignment horizontal="center"/>
      <protection hidden="1"/>
    </xf>
    <xf numFmtId="165" fontId="20" fillId="10" borderId="1" xfId="0" applyNumberFormat="1" applyFont="1" applyFill="1" applyBorder="1" applyAlignment="1" applyProtection="1">
      <alignment horizontal="center"/>
      <protection hidden="1"/>
    </xf>
    <xf numFmtId="0" fontId="18" fillId="10" borderId="1" xfId="0" applyNumberFormat="1" applyFont="1" applyFill="1" applyBorder="1" applyAlignment="1" applyProtection="1">
      <alignment horizontal="center"/>
      <protection hidden="1"/>
    </xf>
    <xf numFmtId="165" fontId="20" fillId="10" borderId="1" xfId="1" applyNumberFormat="1" applyFont="1" applyFill="1" applyBorder="1" applyAlignment="1" applyProtection="1">
      <alignment horizontal="center"/>
      <protection hidden="1"/>
    </xf>
    <xf numFmtId="9" fontId="20" fillId="10" borderId="1" xfId="2" applyFont="1" applyFill="1" applyBorder="1" applyAlignment="1" applyProtection="1">
      <alignment horizontal="center"/>
      <protection hidden="1"/>
    </xf>
    <xf numFmtId="0" fontId="0" fillId="10" borderId="4" xfId="0" applyFill="1" applyBorder="1"/>
    <xf numFmtId="0" fontId="0" fillId="10" borderId="0" xfId="0" applyFill="1"/>
    <xf numFmtId="0" fontId="18" fillId="5" borderId="1" xfId="0" applyFont="1" applyFill="1" applyBorder="1" applyAlignment="1" applyProtection="1">
      <alignment horizontal="left" wrapText="1"/>
      <protection hidden="1"/>
    </xf>
    <xf numFmtId="0" fontId="18" fillId="5" borderId="1" xfId="0" applyFont="1" applyFill="1" applyBorder="1" applyAlignment="1" applyProtection="1">
      <alignment horizontal="right" wrapText="1"/>
      <protection hidden="1"/>
    </xf>
    <xf numFmtId="0" fontId="30" fillId="9" borderId="5" xfId="0" applyFont="1" applyFill="1" applyBorder="1" applyAlignment="1">
      <alignment horizontal="center" vertical="center" wrapText="1"/>
    </xf>
    <xf numFmtId="0" fontId="36" fillId="0" borderId="4" xfId="0" applyFont="1" applyBorder="1"/>
    <xf numFmtId="0" fontId="30" fillId="9" borderId="1" xfId="0" applyFont="1" applyFill="1" applyBorder="1" applyAlignment="1">
      <alignment vertical="center" wrapText="1"/>
    </xf>
    <xf numFmtId="0" fontId="36" fillId="0" borderId="0" xfId="0" applyFont="1" applyFill="1" applyAlignment="1">
      <alignment vertical="center"/>
    </xf>
    <xf numFmtId="44" fontId="0" fillId="16" borderId="5" xfId="0" applyNumberFormat="1" applyFill="1" applyBorder="1" applyAlignment="1" applyProtection="1">
      <alignment horizontal="center" vertical="center"/>
      <protection hidden="1"/>
    </xf>
    <xf numFmtId="44" fontId="0" fillId="16" borderId="1" xfId="0" applyNumberFormat="1" applyFill="1" applyBorder="1" applyAlignment="1" applyProtection="1">
      <alignment horizontal="center" vertical="center"/>
      <protection hidden="1"/>
    </xf>
    <xf numFmtId="165" fontId="0" fillId="17" borderId="1" xfId="1" applyNumberFormat="1" applyFont="1" applyFill="1" applyBorder="1" applyAlignment="1" applyProtection="1">
      <alignment horizontal="center" vertical="center" wrapText="1"/>
    </xf>
    <xf numFmtId="165" fontId="0" fillId="18" borderId="1" xfId="1" applyNumberFormat="1" applyFont="1" applyFill="1" applyBorder="1" applyAlignment="1" applyProtection="1">
      <alignment horizontal="center" vertical="center" wrapText="1"/>
    </xf>
    <xf numFmtId="165" fontId="0" fillId="11" borderId="1" xfId="1" applyNumberFormat="1" applyFont="1" applyFill="1" applyBorder="1" applyAlignment="1" applyProtection="1">
      <alignment horizontal="center" vertical="center" wrapText="1"/>
      <protection locked="0"/>
    </xf>
    <xf numFmtId="0" fontId="0" fillId="11" borderId="1" xfId="0" applyFill="1" applyBorder="1" applyAlignment="1" applyProtection="1">
      <alignment horizontal="center" vertical="center" wrapText="1"/>
      <protection locked="0"/>
    </xf>
    <xf numFmtId="44" fontId="10" fillId="11" borderId="1" xfId="1" applyFont="1" applyFill="1" applyBorder="1" applyAlignment="1" applyProtection="1">
      <alignment horizontal="left" vertical="center"/>
      <protection locked="0"/>
    </xf>
    <xf numFmtId="0" fontId="0" fillId="19" borderId="1" xfId="0" applyFill="1" applyBorder="1" applyAlignment="1">
      <alignment vertical="center"/>
    </xf>
    <xf numFmtId="0" fontId="0" fillId="19" borderId="1" xfId="0" applyFill="1" applyBorder="1" applyAlignment="1">
      <alignment vertical="center" wrapText="1"/>
    </xf>
    <xf numFmtId="0" fontId="1"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 fillId="19" borderId="1" xfId="0" applyFont="1" applyFill="1" applyBorder="1" applyAlignment="1">
      <alignment horizontal="center" vertical="center"/>
    </xf>
    <xf numFmtId="0" fontId="0" fillId="20" borderId="1" xfId="0" applyFill="1" applyBorder="1" applyAlignment="1" applyProtection="1">
      <alignment vertical="center"/>
      <protection locked="0"/>
    </xf>
    <xf numFmtId="0" fontId="39" fillId="21" borderId="0" xfId="0" applyFont="1" applyFill="1" applyBorder="1" applyAlignment="1" applyProtection="1">
      <alignment horizontal="center" vertical="center"/>
    </xf>
    <xf numFmtId="0" fontId="13" fillId="12" borderId="1" xfId="0" applyFont="1" applyFill="1" applyBorder="1" applyAlignment="1" applyProtection="1">
      <alignment horizontal="center" vertical="center" wrapText="1"/>
    </xf>
    <xf numFmtId="0" fontId="0" fillId="0" borderId="1" xfId="0" applyBorder="1" applyAlignment="1" applyProtection="1">
      <alignment horizontal="center" vertical="center"/>
      <protection hidden="1"/>
    </xf>
    <xf numFmtId="0" fontId="1" fillId="0" borderId="43" xfId="0" applyFont="1" applyBorder="1" applyProtection="1">
      <protection hidden="1"/>
    </xf>
    <xf numFmtId="0" fontId="1" fillId="0" borderId="34" xfId="0" applyFont="1" applyBorder="1" applyAlignment="1" applyProtection="1">
      <protection hidden="1"/>
    </xf>
    <xf numFmtId="0" fontId="1" fillId="0" borderId="35" xfId="0" applyFont="1" applyBorder="1" applyAlignment="1" applyProtection="1">
      <protection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44" fontId="10" fillId="0" borderId="46" xfId="1" applyNumberFormat="1" applyFont="1" applyBorder="1" applyProtection="1">
      <protection hidden="1"/>
    </xf>
    <xf numFmtId="44" fontId="1" fillId="0" borderId="47" xfId="1" applyFont="1" applyBorder="1" applyProtection="1">
      <protection hidden="1"/>
    </xf>
    <xf numFmtId="0" fontId="10" fillId="0" borderId="12" xfId="1" applyNumberFormat="1" applyFont="1" applyBorder="1" applyProtection="1">
      <protection hidden="1"/>
    </xf>
    <xf numFmtId="44" fontId="10" fillId="0" borderId="48" xfId="1" applyNumberFormat="1" applyFont="1" applyBorder="1" applyProtection="1">
      <protection hidden="1"/>
    </xf>
    <xf numFmtId="0" fontId="10" fillId="0" borderId="14" xfId="1" applyNumberFormat="1" applyFont="1" applyBorder="1" applyProtection="1">
      <protection hidden="1"/>
    </xf>
    <xf numFmtId="44" fontId="10" fillId="0" borderId="49" xfId="1" applyNumberFormat="1" applyFont="1" applyBorder="1" applyProtection="1">
      <protection hidden="1"/>
    </xf>
    <xf numFmtId="0" fontId="10" fillId="0" borderId="49" xfId="1" applyNumberFormat="1" applyFont="1" applyBorder="1" applyProtection="1">
      <protection hidden="1"/>
    </xf>
    <xf numFmtId="0" fontId="1" fillId="0" borderId="18" xfId="0" applyFont="1" applyBorder="1" applyProtection="1">
      <protection hidden="1"/>
    </xf>
    <xf numFmtId="0" fontId="1" fillId="0" borderId="6" xfId="0" applyFont="1" applyBorder="1" applyProtection="1">
      <protection hidden="1"/>
    </xf>
    <xf numFmtId="0" fontId="1" fillId="0" borderId="15" xfId="0" applyFont="1" applyBorder="1" applyProtection="1">
      <protection hidden="1"/>
    </xf>
    <xf numFmtId="0" fontId="0" fillId="0" borderId="9" xfId="0" applyBorder="1" applyProtection="1">
      <protection hidden="1"/>
    </xf>
    <xf numFmtId="44" fontId="10" fillId="0" borderId="50" xfId="1" applyNumberFormat="1" applyFont="1" applyBorder="1" applyProtection="1">
      <protection hidden="1"/>
    </xf>
    <xf numFmtId="0" fontId="0" fillId="0" borderId="0" xfId="0" applyBorder="1" applyAlignment="1" applyProtection="1">
      <alignment horizontal="center"/>
      <protection hidden="1"/>
    </xf>
    <xf numFmtId="0" fontId="14" fillId="0" borderId="0" xfId="0" applyFont="1" applyBorder="1" applyAlignment="1">
      <alignment horizontal="center" vertical="center" wrapText="1"/>
    </xf>
    <xf numFmtId="0" fontId="0" fillId="0" borderId="0" xfId="0" applyAlignment="1">
      <alignment horizontal="left" vertical="top" wrapText="1"/>
    </xf>
    <xf numFmtId="0" fontId="0" fillId="12" borderId="40" xfId="0" applyFill="1" applyBorder="1" applyAlignment="1">
      <alignment horizontal="center" vertical="center"/>
    </xf>
    <xf numFmtId="0" fontId="22" fillId="10" borderId="0" xfId="0" applyFont="1" applyFill="1" applyBorder="1" applyAlignment="1">
      <alignment horizontal="left" vertical="top" wrapText="1"/>
    </xf>
    <xf numFmtId="0" fontId="22" fillId="10" borderId="0" xfId="0" applyFont="1" applyFill="1" applyBorder="1" applyAlignment="1">
      <alignment horizontal="left" vertical="top"/>
    </xf>
    <xf numFmtId="0" fontId="32" fillId="0" borderId="1" xfId="0" applyFont="1" applyBorder="1" applyAlignment="1">
      <alignment horizontal="center"/>
    </xf>
    <xf numFmtId="0" fontId="13" fillId="12" borderId="19" xfId="0" applyFont="1" applyFill="1" applyBorder="1" applyAlignment="1" applyProtection="1">
      <alignment horizontal="center" vertical="center" wrapText="1"/>
    </xf>
    <xf numFmtId="0" fontId="13" fillId="12" borderId="20" xfId="0" applyFont="1" applyFill="1" applyBorder="1" applyAlignment="1" applyProtection="1">
      <alignment horizontal="center" vertical="center" wrapText="1"/>
    </xf>
    <xf numFmtId="0" fontId="13" fillId="12" borderId="11" xfId="0" applyFont="1" applyFill="1" applyBorder="1" applyAlignment="1" applyProtection="1">
      <alignment horizontal="center" vertical="center" wrapText="1"/>
    </xf>
    <xf numFmtId="0" fontId="13" fillId="12" borderId="10" xfId="0" applyFont="1" applyFill="1" applyBorder="1" applyAlignment="1" applyProtection="1">
      <alignment horizontal="center" vertical="center" wrapText="1"/>
    </xf>
    <xf numFmtId="0" fontId="13" fillId="12" borderId="3" xfId="0" applyFont="1" applyFill="1" applyBorder="1" applyAlignment="1" applyProtection="1">
      <alignment horizontal="center" vertical="center" wrapText="1"/>
    </xf>
    <xf numFmtId="0" fontId="13" fillId="12" borderId="2" xfId="0" applyFont="1" applyFill="1" applyBorder="1" applyAlignment="1" applyProtection="1">
      <alignment horizontal="center" vertical="center" wrapText="1"/>
    </xf>
    <xf numFmtId="0" fontId="13" fillId="13" borderId="1" xfId="0" applyFont="1" applyFill="1" applyBorder="1" applyAlignment="1" applyProtection="1">
      <alignment horizontal="center" vertical="center" wrapText="1"/>
      <protection locked="0"/>
    </xf>
    <xf numFmtId="0" fontId="13" fillId="12" borderId="5" xfId="0" applyFont="1" applyFill="1" applyBorder="1" applyAlignment="1" applyProtection="1">
      <alignment horizontal="center" vertical="center" wrapText="1"/>
    </xf>
    <xf numFmtId="0" fontId="13" fillId="12" borderId="13" xfId="0" applyFont="1" applyFill="1" applyBorder="1" applyAlignment="1" applyProtection="1">
      <alignment horizontal="center" vertical="center" wrapText="1"/>
    </xf>
    <xf numFmtId="0" fontId="13" fillId="12" borderId="6" xfId="0" applyFont="1" applyFill="1" applyBorder="1" applyAlignment="1" applyProtection="1">
      <alignment horizontal="center" vertical="center" wrapText="1"/>
    </xf>
    <xf numFmtId="165" fontId="0" fillId="17" borderId="19" xfId="1" applyNumberFormat="1" applyFont="1" applyFill="1" applyBorder="1" applyAlignment="1" applyProtection="1">
      <alignment horizontal="center" vertical="center" wrapText="1"/>
    </xf>
    <xf numFmtId="165" fontId="0" fillId="17" borderId="20" xfId="1" applyNumberFormat="1" applyFont="1" applyFill="1" applyBorder="1" applyAlignment="1" applyProtection="1">
      <alignment horizontal="center" vertical="center" wrapText="1"/>
    </xf>
    <xf numFmtId="165" fontId="0" fillId="17" borderId="4" xfId="1" applyNumberFormat="1" applyFont="1" applyFill="1" applyBorder="1" applyAlignment="1" applyProtection="1">
      <alignment horizontal="center" vertical="center" wrapText="1"/>
    </xf>
    <xf numFmtId="165" fontId="0" fillId="17" borderId="17" xfId="1" applyNumberFormat="1" applyFont="1" applyFill="1" applyBorder="1" applyAlignment="1" applyProtection="1">
      <alignment horizontal="center" vertical="center" wrapText="1"/>
    </xf>
    <xf numFmtId="165" fontId="0" fillId="17" borderId="11" xfId="1" applyNumberFormat="1" applyFont="1" applyFill="1" applyBorder="1" applyAlignment="1" applyProtection="1">
      <alignment horizontal="center" vertical="center" wrapText="1"/>
    </xf>
    <xf numFmtId="165" fontId="0" fillId="17" borderId="10" xfId="1" applyNumberFormat="1" applyFont="1" applyFill="1" applyBorder="1" applyAlignment="1" applyProtection="1">
      <alignment horizontal="center" vertical="center" wrapText="1"/>
    </xf>
    <xf numFmtId="0" fontId="13" fillId="12" borderId="4" xfId="0" applyFont="1" applyFill="1" applyBorder="1" applyAlignment="1" applyProtection="1">
      <alignment horizontal="center" vertical="center" wrapText="1"/>
    </xf>
    <xf numFmtId="44" fontId="10" fillId="11" borderId="3" xfId="1" applyFont="1" applyFill="1" applyBorder="1" applyAlignment="1" applyProtection="1">
      <alignment horizontal="center" vertical="center" wrapText="1"/>
      <protection locked="0"/>
    </xf>
    <xf numFmtId="44" fontId="10" fillId="11" borderId="2" xfId="1" applyFont="1" applyFill="1" applyBorder="1" applyAlignment="1" applyProtection="1">
      <alignment horizontal="center" vertical="center" wrapText="1"/>
      <protection locked="0"/>
    </xf>
    <xf numFmtId="0" fontId="13" fillId="12" borderId="37" xfId="0" applyFont="1" applyFill="1" applyBorder="1" applyAlignment="1" applyProtection="1">
      <alignment horizontal="center" vertical="center" wrapText="1"/>
    </xf>
    <xf numFmtId="0" fontId="0" fillId="0" borderId="0" xfId="0" applyAlignment="1" applyProtection="1">
      <alignment horizontal="left" wrapText="1"/>
    </xf>
    <xf numFmtId="0" fontId="0" fillId="13" borderId="19" xfId="0" applyFill="1" applyBorder="1" applyAlignment="1" applyProtection="1">
      <alignment horizontal="center" vertical="center" wrapText="1"/>
    </xf>
    <xf numFmtId="0" fontId="0" fillId="13" borderId="20" xfId="0" applyFill="1" applyBorder="1" applyAlignment="1" applyProtection="1">
      <alignment horizontal="center" vertical="center" wrapText="1"/>
    </xf>
    <xf numFmtId="0" fontId="0" fillId="13" borderId="4" xfId="0" applyFill="1" applyBorder="1" applyAlignment="1" applyProtection="1">
      <alignment horizontal="center" vertical="center" wrapText="1"/>
    </xf>
    <xf numFmtId="0" fontId="0" fillId="13" borderId="17" xfId="0" applyFill="1" applyBorder="1" applyAlignment="1" applyProtection="1">
      <alignment horizontal="center" vertical="center" wrapText="1"/>
    </xf>
    <xf numFmtId="0" fontId="0" fillId="13" borderId="11" xfId="0" applyFill="1" applyBorder="1" applyAlignment="1" applyProtection="1">
      <alignment horizontal="center" vertical="center" wrapText="1"/>
    </xf>
    <xf numFmtId="0" fontId="0" fillId="13" borderId="10" xfId="0" applyFill="1" applyBorder="1" applyAlignment="1" applyProtection="1">
      <alignment horizontal="center" vertical="center" wrapText="1"/>
    </xf>
    <xf numFmtId="0" fontId="0" fillId="0" borderId="19" xfId="0" applyBorder="1" applyAlignment="1" applyProtection="1">
      <alignment horizontal="left" vertical="top" wrapText="1"/>
    </xf>
    <xf numFmtId="0" fontId="0" fillId="0" borderId="16" xfId="0" applyBorder="1" applyAlignment="1" applyProtection="1">
      <alignment horizontal="left" vertical="top" wrapText="1"/>
    </xf>
    <xf numFmtId="0" fontId="0" fillId="0" borderId="20"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7"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8" xfId="0" applyBorder="1" applyAlignment="1" applyProtection="1">
      <alignment horizontal="left" vertical="top" wrapText="1"/>
    </xf>
    <xf numFmtId="0" fontId="0" fillId="0" borderId="10" xfId="0" applyBorder="1" applyAlignment="1" applyProtection="1">
      <alignment horizontal="left" vertical="top" wrapText="1"/>
    </xf>
    <xf numFmtId="0" fontId="13" fillId="13" borderId="5" xfId="0" applyFont="1" applyFill="1" applyBorder="1" applyAlignment="1" applyProtection="1">
      <alignment horizontal="center" vertical="center" wrapText="1"/>
      <protection locked="0"/>
    </xf>
    <xf numFmtId="0" fontId="13" fillId="13" borderId="13" xfId="0" applyFont="1" applyFill="1" applyBorder="1" applyAlignment="1" applyProtection="1">
      <alignment horizontal="center" vertical="center" wrapText="1"/>
      <protection locked="0"/>
    </xf>
    <xf numFmtId="0" fontId="38" fillId="21" borderId="18" xfId="0" applyFont="1" applyFill="1" applyBorder="1" applyAlignment="1" applyProtection="1">
      <alignment horizontal="left" vertical="center" wrapText="1" indent="3"/>
    </xf>
    <xf numFmtId="0" fontId="0" fillId="13" borderId="3" xfId="0" applyFill="1" applyBorder="1" applyAlignment="1" applyProtection="1">
      <alignment horizontal="center" vertical="center" wrapText="1"/>
      <protection locked="0"/>
    </xf>
    <xf numFmtId="0" fontId="0" fillId="13" borderId="2" xfId="0" applyFill="1" applyBorder="1" applyAlignment="1" applyProtection="1">
      <alignment horizontal="center" vertical="center" wrapText="1"/>
      <protection locked="0"/>
    </xf>
    <xf numFmtId="0" fontId="40" fillId="21" borderId="5" xfId="0" applyFont="1" applyFill="1" applyBorder="1" applyAlignment="1" applyProtection="1">
      <alignment horizontal="center" vertical="center" wrapText="1"/>
    </xf>
    <xf numFmtId="0" fontId="40" fillId="21" borderId="13" xfId="0" applyFont="1" applyFill="1" applyBorder="1" applyAlignment="1" applyProtection="1">
      <alignment horizontal="center" vertical="center" wrapText="1"/>
    </xf>
    <xf numFmtId="0" fontId="18" fillId="11" borderId="5" xfId="0" applyFont="1" applyFill="1" applyBorder="1" applyAlignment="1" applyProtection="1">
      <alignment horizontal="center" vertical="center" wrapText="1"/>
      <protection locked="0"/>
    </xf>
    <xf numFmtId="0" fontId="18" fillId="11" borderId="6" xfId="0" applyFont="1" applyFill="1" applyBorder="1" applyAlignment="1" applyProtection="1">
      <alignment horizontal="center" vertical="center" wrapText="1"/>
      <protection locked="0"/>
    </xf>
    <xf numFmtId="0" fontId="18" fillId="11" borderId="13" xfId="0" applyFont="1" applyFill="1" applyBorder="1" applyAlignment="1" applyProtection="1">
      <alignment horizontal="center" vertical="center" wrapText="1"/>
      <protection locked="0"/>
    </xf>
    <xf numFmtId="0" fontId="13" fillId="12" borderId="1" xfId="0" applyFont="1" applyFill="1" applyBorder="1" applyAlignment="1" applyProtection="1">
      <alignment horizontal="center" vertical="center" wrapText="1"/>
    </xf>
    <xf numFmtId="0" fontId="13" fillId="12" borderId="17" xfId="0" applyFont="1" applyFill="1" applyBorder="1" applyAlignment="1" applyProtection="1">
      <alignment horizontal="center" vertical="center" wrapText="1"/>
    </xf>
    <xf numFmtId="0" fontId="0" fillId="11" borderId="3" xfId="0" applyFill="1" applyBorder="1" applyAlignment="1" applyProtection="1">
      <alignment horizontal="center" vertical="center" wrapText="1"/>
    </xf>
    <xf numFmtId="0" fontId="0" fillId="11" borderId="37" xfId="0" applyFill="1" applyBorder="1" applyAlignment="1" applyProtection="1">
      <alignment horizontal="center" vertical="center" wrapText="1"/>
    </xf>
    <xf numFmtId="0" fontId="0" fillId="11" borderId="2" xfId="0" applyFill="1" applyBorder="1" applyAlignment="1" applyProtection="1">
      <alignment horizontal="center" vertical="center" wrapText="1"/>
    </xf>
    <xf numFmtId="1" fontId="0" fillId="16" borderId="3" xfId="0" applyNumberFormat="1" applyFill="1" applyBorder="1" applyAlignment="1">
      <alignment horizontal="center" vertical="center"/>
    </xf>
    <xf numFmtId="1" fontId="0" fillId="16" borderId="2" xfId="0" applyNumberFormat="1" applyFill="1" applyBorder="1" applyAlignment="1">
      <alignment horizontal="center" vertical="center"/>
    </xf>
    <xf numFmtId="167" fontId="0" fillId="0" borderId="19" xfId="4" applyNumberFormat="1" applyFont="1" applyBorder="1" applyAlignment="1">
      <alignment horizontal="center" vertical="center"/>
    </xf>
    <xf numFmtId="167" fontId="0" fillId="0" borderId="20" xfId="4" applyNumberFormat="1" applyFont="1" applyBorder="1" applyAlignment="1">
      <alignment horizontal="center" vertical="center"/>
    </xf>
    <xf numFmtId="167" fontId="0" fillId="0" borderId="11" xfId="4" applyNumberFormat="1" applyFont="1" applyBorder="1" applyAlignment="1">
      <alignment horizontal="center" vertical="center"/>
    </xf>
    <xf numFmtId="167" fontId="0" fillId="0" borderId="10" xfId="4"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2" xfId="0" applyNumberFormat="1" applyBorder="1" applyAlignment="1">
      <alignment horizontal="center" vertical="center"/>
    </xf>
    <xf numFmtId="167" fontId="0" fillId="0" borderId="3" xfId="4" applyNumberFormat="1" applyFont="1" applyBorder="1" applyAlignment="1">
      <alignment horizontal="center" vertical="center"/>
    </xf>
    <xf numFmtId="167" fontId="0" fillId="0" borderId="2" xfId="4" applyNumberFormat="1" applyFont="1" applyBorder="1" applyAlignment="1">
      <alignment horizontal="center" vertical="center"/>
    </xf>
    <xf numFmtId="0" fontId="38" fillId="21" borderId="4" xfId="0" applyFont="1" applyFill="1" applyBorder="1" applyAlignment="1" applyProtection="1">
      <alignment horizontal="left" indent="25"/>
      <protection hidden="1"/>
    </xf>
    <xf numFmtId="0" fontId="0" fillId="0" borderId="0" xfId="0" applyAlignment="1">
      <alignment horizontal="left" indent="25"/>
    </xf>
    <xf numFmtId="0" fontId="20" fillId="0" borderId="11" xfId="0" applyFont="1" applyBorder="1" applyAlignment="1">
      <alignment horizontal="center" vertical="center"/>
    </xf>
    <xf numFmtId="0" fontId="20" fillId="0" borderId="18" xfId="0" applyFont="1" applyBorder="1" applyAlignment="1">
      <alignment horizontal="center" vertical="center"/>
    </xf>
    <xf numFmtId="0" fontId="0" fillId="0" borderId="18" xfId="0" applyBorder="1" applyAlignment="1"/>
    <xf numFmtId="0" fontId="0" fillId="0" borderId="10" xfId="0" applyBorder="1" applyAlignment="1"/>
    <xf numFmtId="0" fontId="40" fillId="21" borderId="1" xfId="0" applyFont="1" applyFill="1" applyBorder="1" applyAlignment="1">
      <alignment horizontal="left" wrapText="1"/>
    </xf>
    <xf numFmtId="0" fontId="14" fillId="5" borderId="3"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30" fillId="9" borderId="5" xfId="0" applyFont="1" applyFill="1" applyBorder="1" applyAlignment="1">
      <alignment horizontal="center" vertical="center"/>
    </xf>
    <xf numFmtId="0" fontId="30" fillId="9" borderId="6" xfId="0" applyFont="1" applyFill="1" applyBorder="1" applyAlignment="1">
      <alignment horizontal="center" vertical="center"/>
    </xf>
    <xf numFmtId="0" fontId="14" fillId="16" borderId="2"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30" fillId="15" borderId="5" xfId="0" applyFont="1" applyFill="1" applyBorder="1" applyAlignment="1">
      <alignment horizontal="center" vertical="center"/>
    </xf>
    <xf numFmtId="0" fontId="30" fillId="15" borderId="6" xfId="0" applyFont="1" applyFill="1" applyBorder="1" applyAlignment="1">
      <alignment horizontal="center" vertical="center"/>
    </xf>
    <xf numFmtId="0" fontId="30" fillId="15" borderId="13" xfId="0" applyFont="1" applyFill="1" applyBorder="1" applyAlignment="1">
      <alignment horizontal="center" vertical="center"/>
    </xf>
    <xf numFmtId="0" fontId="14" fillId="16" borderId="37" xfId="0"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6" xfId="0" applyFont="1" applyFill="1" applyBorder="1" applyAlignment="1">
      <alignment horizontal="center" vertical="center"/>
    </xf>
    <xf numFmtId="0" fontId="37" fillId="2" borderId="13" xfId="0" applyFont="1" applyFill="1" applyBorder="1" applyAlignment="1">
      <alignment horizontal="center" vertical="center"/>
    </xf>
    <xf numFmtId="0" fontId="30" fillId="9" borderId="1" xfId="0" applyFont="1" applyFill="1" applyBorder="1" applyAlignment="1">
      <alignment horizontal="center" vertical="center"/>
    </xf>
    <xf numFmtId="0" fontId="30" fillId="9" borderId="6" xfId="0" applyFont="1" applyFill="1" applyBorder="1" applyAlignment="1">
      <alignment horizontal="center" vertical="center" wrapText="1"/>
    </xf>
    <xf numFmtId="0" fontId="30" fillId="9" borderId="13"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30" fillId="15" borderId="19" xfId="0" applyFont="1" applyFill="1" applyBorder="1" applyAlignment="1">
      <alignment horizontal="center" vertical="center" wrapText="1"/>
    </xf>
    <xf numFmtId="0" fontId="30" fillId="15" borderId="16" xfId="0" applyFont="1" applyFill="1" applyBorder="1" applyAlignment="1">
      <alignment horizontal="center" vertical="center" wrapText="1"/>
    </xf>
    <xf numFmtId="0" fontId="30" fillId="15" borderId="20" xfId="0" applyFont="1" applyFill="1" applyBorder="1" applyAlignment="1">
      <alignment horizontal="center" vertical="center" wrapText="1"/>
    </xf>
    <xf numFmtId="0" fontId="30" fillId="15" borderId="11" xfId="0" applyFont="1" applyFill="1" applyBorder="1" applyAlignment="1">
      <alignment horizontal="center" vertical="center" wrapText="1"/>
    </xf>
    <xf numFmtId="0" fontId="30" fillId="15" borderId="18" xfId="0" applyFont="1" applyFill="1" applyBorder="1" applyAlignment="1">
      <alignment horizontal="center" vertical="center" wrapText="1"/>
    </xf>
    <xf numFmtId="0" fontId="30" fillId="15" borderId="10" xfId="0" applyFont="1" applyFill="1" applyBorder="1" applyAlignment="1">
      <alignment horizontal="center" vertical="center" wrapText="1"/>
    </xf>
    <xf numFmtId="0" fontId="0" fillId="0" borderId="0" xfId="0" applyAlignment="1" applyProtection="1">
      <alignment horizontal="center"/>
      <protection hidden="1"/>
    </xf>
    <xf numFmtId="0" fontId="0" fillId="0" borderId="1" xfId="0" applyBorder="1" applyAlignment="1" applyProtection="1">
      <alignment horizontal="center"/>
      <protection hidden="1"/>
    </xf>
    <xf numFmtId="0" fontId="0" fillId="0" borderId="5" xfId="0" applyBorder="1" applyAlignment="1" applyProtection="1">
      <alignment horizontal="center"/>
      <protection hidden="1"/>
    </xf>
    <xf numFmtId="0" fontId="0" fillId="0" borderId="13" xfId="0" applyBorder="1" applyAlignment="1" applyProtection="1">
      <alignment horizontal="center"/>
      <protection hidden="1"/>
    </xf>
    <xf numFmtId="0" fontId="2" fillId="0" borderId="1" xfId="0" applyFont="1" applyBorder="1" applyAlignment="1" applyProtection="1">
      <alignment vertical="center"/>
      <protection hidden="1"/>
    </xf>
    <xf numFmtId="0" fontId="1" fillId="0" borderId="1" xfId="0" applyFont="1" applyBorder="1" applyAlignment="1" applyProtection="1">
      <alignment horizontal="center"/>
      <protection hidden="1"/>
    </xf>
    <xf numFmtId="0" fontId="0" fillId="0" borderId="33" xfId="0" applyBorder="1" applyAlignment="1" applyProtection="1">
      <alignment horizontal="center"/>
      <protection hidden="1"/>
    </xf>
    <xf numFmtId="0" fontId="0" fillId="0" borderId="1" xfId="0" applyBorder="1" applyAlignment="1" applyProtection="1">
      <alignment horizontal="center" vertical="center"/>
      <protection hidden="1"/>
    </xf>
    <xf numFmtId="0" fontId="0" fillId="0" borderId="6"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38" fillId="21" borderId="18" xfId="0" applyFont="1" applyFill="1" applyBorder="1" applyAlignment="1" applyProtection="1">
      <alignment horizontal="left" vertical="center" wrapText="1"/>
    </xf>
    <xf numFmtId="0" fontId="40" fillId="21" borderId="19" xfId="0" applyFont="1" applyFill="1" applyBorder="1" applyAlignment="1" applyProtection="1">
      <alignment horizontal="center" vertical="center" wrapText="1"/>
    </xf>
    <xf numFmtId="0" fontId="40" fillId="21" borderId="20" xfId="0" applyFont="1" applyFill="1" applyBorder="1" applyAlignment="1" applyProtection="1">
      <alignment horizontal="center" vertical="center" wrapText="1"/>
    </xf>
    <xf numFmtId="0" fontId="0" fillId="13" borderId="5" xfId="0" applyFill="1" applyBorder="1" applyAlignment="1" applyProtection="1">
      <alignment horizontal="center" vertical="center" wrapText="1"/>
      <protection locked="0"/>
    </xf>
    <xf numFmtId="0" fontId="0" fillId="13" borderId="13"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0" fillId="13" borderId="17" xfId="0" applyFill="1" applyBorder="1" applyAlignment="1" applyProtection="1">
      <alignment horizontal="center" vertical="center" wrapText="1"/>
      <protection locked="0"/>
    </xf>
    <xf numFmtId="0" fontId="20" fillId="11" borderId="19" xfId="0" applyFont="1" applyFill="1" applyBorder="1" applyAlignment="1" applyProtection="1">
      <alignment horizontal="center" vertical="center"/>
      <protection locked="0"/>
    </xf>
    <xf numFmtId="0" fontId="20" fillId="11" borderId="16" xfId="0" applyFont="1" applyFill="1" applyBorder="1" applyAlignment="1" applyProtection="1">
      <alignment horizontal="center" vertical="center"/>
      <protection locked="0"/>
    </xf>
    <xf numFmtId="0" fontId="20" fillId="11" borderId="20" xfId="0" applyFont="1" applyFill="1" applyBorder="1" applyAlignment="1" applyProtection="1">
      <alignment horizontal="center" vertical="center"/>
      <protection locked="0"/>
    </xf>
    <xf numFmtId="0" fontId="0" fillId="13" borderId="5" xfId="0" applyFill="1" applyBorder="1" applyAlignment="1" applyProtection="1">
      <alignment horizontal="center" vertical="center" wrapText="1"/>
    </xf>
    <xf numFmtId="0" fontId="0" fillId="13" borderId="13" xfId="0" applyFill="1" applyBorder="1" applyAlignment="1" applyProtection="1">
      <alignment horizontal="center" vertical="center" wrapText="1"/>
    </xf>
    <xf numFmtId="165" fontId="0" fillId="18" borderId="5" xfId="1" applyNumberFormat="1" applyFont="1" applyFill="1" applyBorder="1" applyAlignment="1" applyProtection="1">
      <alignment horizontal="center" vertical="center" wrapText="1"/>
    </xf>
    <xf numFmtId="165" fontId="0" fillId="18" borderId="13" xfId="1" applyNumberFormat="1" applyFont="1" applyFill="1" applyBorder="1" applyAlignment="1" applyProtection="1">
      <alignment horizontal="center" vertical="center" wrapText="1"/>
    </xf>
    <xf numFmtId="0" fontId="0" fillId="11" borderId="5" xfId="0" applyFill="1" applyBorder="1" applyAlignment="1" applyProtection="1">
      <alignment horizontal="center" vertical="center" wrapText="1"/>
    </xf>
    <xf numFmtId="0" fontId="0" fillId="11" borderId="13" xfId="0" applyFill="1" applyBorder="1" applyAlignment="1" applyProtection="1">
      <alignment horizontal="center" vertical="center" wrapText="1"/>
    </xf>
    <xf numFmtId="0" fontId="30" fillId="9" borderId="5"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hidden="1"/>
    </xf>
    <xf numFmtId="0" fontId="30" fillId="15" borderId="4" xfId="0" applyFont="1" applyFill="1" applyBorder="1" applyAlignment="1">
      <alignment horizontal="center" vertical="center" wrapText="1"/>
    </xf>
    <xf numFmtId="0" fontId="30" fillId="15" borderId="0" xfId="0" applyFont="1" applyFill="1" applyBorder="1" applyAlignment="1">
      <alignment horizontal="center" vertical="center" wrapText="1"/>
    </xf>
    <xf numFmtId="0" fontId="30" fillId="15" borderId="17" xfId="0" applyFont="1" applyFill="1" applyBorder="1" applyAlignment="1">
      <alignment horizontal="center" vertical="center" wrapText="1"/>
    </xf>
    <xf numFmtId="0" fontId="14" fillId="16"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0" xfId="0" applyBorder="1" applyAlignment="1" applyProtection="1">
      <alignment horizontal="center"/>
      <protection hidden="1"/>
    </xf>
    <xf numFmtId="0" fontId="1" fillId="0" borderId="3" xfId="0" applyFont="1" applyBorder="1" applyAlignment="1" applyProtection="1">
      <alignment horizontal="center" vertical="center" wrapText="1"/>
      <protection hidden="1"/>
    </xf>
    <xf numFmtId="0" fontId="1" fillId="0" borderId="37"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0" fillId="9" borderId="30" xfId="0" applyFill="1" applyBorder="1" applyAlignment="1">
      <alignment horizontal="center" vertical="center"/>
    </xf>
    <xf numFmtId="0" fontId="0" fillId="9" borderId="31" xfId="0" applyFill="1" applyBorder="1" applyAlignment="1">
      <alignment horizontal="center" vertical="center"/>
    </xf>
    <xf numFmtId="0" fontId="0" fillId="9" borderId="32" xfId="0" applyFill="1" applyBorder="1" applyAlignment="1">
      <alignment horizontal="center" vertical="center"/>
    </xf>
    <xf numFmtId="0" fontId="0" fillId="2" borderId="30" xfId="0" applyFill="1" applyBorder="1" applyAlignment="1" applyProtection="1">
      <alignment horizontal="center"/>
      <protection hidden="1"/>
    </xf>
    <xf numFmtId="0" fontId="0" fillId="2" borderId="31" xfId="0" applyFill="1" applyBorder="1" applyAlignment="1" applyProtection="1">
      <alignment horizontal="center"/>
      <protection hidden="1"/>
    </xf>
    <xf numFmtId="0" fontId="0" fillId="2" borderId="32" xfId="0" applyFill="1" applyBorder="1" applyAlignment="1" applyProtection="1">
      <alignment horizontal="center"/>
      <protection hidden="1"/>
    </xf>
    <xf numFmtId="0" fontId="0" fillId="4" borderId="30" xfId="0" applyFill="1" applyBorder="1" applyAlignment="1" applyProtection="1">
      <alignment horizontal="center"/>
      <protection hidden="1"/>
    </xf>
    <xf numFmtId="0" fontId="0" fillId="4" borderId="31" xfId="0" applyFill="1" applyBorder="1" applyAlignment="1" applyProtection="1">
      <alignment horizontal="center"/>
      <protection hidden="1"/>
    </xf>
    <xf numFmtId="0" fontId="0" fillId="4" borderId="32" xfId="0" applyFill="1" applyBorder="1" applyAlignment="1" applyProtection="1">
      <alignment horizontal="center"/>
      <protection hidden="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xf>
    <xf numFmtId="0" fontId="0" fillId="8" borderId="39" xfId="0" applyFill="1" applyBorder="1" applyAlignment="1">
      <alignment horizontal="center"/>
    </xf>
    <xf numFmtId="0" fontId="0" fillId="8" borderId="18" xfId="0" applyFill="1" applyBorder="1" applyAlignment="1">
      <alignment horizontal="center"/>
    </xf>
    <xf numFmtId="0" fontId="0" fillId="0" borderId="40" xfId="0" applyBorder="1" applyAlignment="1">
      <alignment horizontal="center" vertical="center"/>
    </xf>
    <xf numFmtId="0" fontId="0" fillId="19" borderId="1" xfId="0" applyFill="1" applyBorder="1" applyAlignment="1" applyProtection="1">
      <alignment horizontal="center" vertical="center"/>
      <protection locked="0"/>
    </xf>
    <xf numFmtId="0" fontId="0" fillId="19" borderId="1" xfId="0" applyFill="1" applyBorder="1" applyAlignment="1">
      <alignment horizontal="center" vertical="center"/>
    </xf>
    <xf numFmtId="0" fontId="15" fillId="19" borderId="5" xfId="0" applyFont="1" applyFill="1" applyBorder="1" applyAlignment="1">
      <alignment horizontal="center" vertical="center"/>
    </xf>
    <xf numFmtId="0" fontId="0" fillId="19" borderId="13" xfId="0" applyFont="1" applyFill="1" applyBorder="1" applyAlignment="1">
      <alignment horizontal="center" vertical="center"/>
    </xf>
  </cellXfs>
  <cellStyles count="5">
    <cellStyle name="Lien hypertexte" xfId="3" builtinId="8"/>
    <cellStyle name="Milliers" xfId="4" builtinId="3"/>
    <cellStyle name="Monétaire" xfId="1" builtinId="4"/>
    <cellStyle name="Normal" xfId="0" builtinId="0"/>
    <cellStyle name="Pourcentage" xfId="2" builtinId="5"/>
  </cellStyles>
  <dxfs count="7">
    <dxf>
      <font>
        <color theme="0"/>
      </font>
      <fill>
        <patternFill>
          <fgColor theme="0"/>
        </patternFill>
      </fill>
    </dxf>
    <dxf>
      <font>
        <color theme="0"/>
      </font>
      <fill>
        <patternFill>
          <fgColor theme="0"/>
        </patternFill>
      </fill>
    </dxf>
    <dxf>
      <font>
        <color theme="0"/>
      </font>
      <fill>
        <patternFill>
          <fgColor theme="0"/>
        </patternFill>
      </fill>
    </dxf>
    <dxf>
      <font>
        <color theme="0"/>
      </font>
      <fill>
        <patternFill>
          <fgColor theme="0"/>
        </patternFill>
      </fill>
    </dxf>
    <dxf>
      <font>
        <color theme="6" tint="0.39994506668294322"/>
      </font>
      <fill>
        <patternFill>
          <fgColor theme="0"/>
        </patternFill>
      </fill>
    </dxf>
    <dxf>
      <font>
        <color theme="0"/>
      </font>
      <fill>
        <patternFill>
          <fgColor theme="0"/>
        </patternFill>
      </fill>
    </dxf>
    <dxf>
      <font>
        <color theme="0"/>
      </font>
      <fill>
        <patternFill>
          <fgColor theme="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161925</xdr:colOff>
      <xdr:row>3</xdr:row>
      <xdr:rowOff>109010</xdr:rowOff>
    </xdr:from>
    <xdr:to>
      <xdr:col>17</xdr:col>
      <xdr:colOff>447675</xdr:colOff>
      <xdr:row>16</xdr:row>
      <xdr:rowOff>158752</xdr:rowOff>
    </xdr:to>
    <xdr:sp macro="" textlink="">
      <xdr:nvSpPr>
        <xdr:cNvPr id="10" name="ZoneTexte 9"/>
        <xdr:cNvSpPr txBox="1"/>
      </xdr:nvSpPr>
      <xdr:spPr>
        <a:xfrm>
          <a:off x="161925" y="680510"/>
          <a:ext cx="12954000" cy="2526242"/>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200" b="1"/>
            <a:t>D'où vient ce simulateur</a:t>
          </a:r>
        </a:p>
        <a:p>
          <a:r>
            <a:rPr lang="fr-FR" sz="1100"/>
            <a:t>Cet outil a été développé par </a:t>
          </a:r>
          <a:r>
            <a:rPr lang="fr-FR" sz="1100" b="1"/>
            <a:t>l'Agence Locale de l'Energie</a:t>
          </a:r>
          <a:r>
            <a:rPr lang="fr-FR" sz="1100" b="1" baseline="0"/>
            <a:t> d'Indre et Loire</a:t>
          </a:r>
          <a:r>
            <a:rPr lang="fr-FR" sz="1100" baseline="0"/>
            <a:t> </a:t>
          </a:r>
          <a:r>
            <a:rPr lang="fr-FR" sz="1100"/>
            <a:t>pour la </a:t>
          </a:r>
          <a:r>
            <a:rPr lang="fr-FR" sz="1100" b="1"/>
            <a:t>Fondation Abbé Pierre, </a:t>
          </a:r>
          <a:r>
            <a:rPr lang="fr-FR" sz="1100"/>
            <a:t>dans le cadre de son programme </a:t>
          </a:r>
          <a:r>
            <a:rPr lang="fr-FR" sz="1100" b="1" u="none"/>
            <a:t>Toits d'Abord </a:t>
          </a:r>
          <a:r>
            <a:rPr lang="fr-FR" sz="1100"/>
            <a:t>de soutien à la production de logements d'insertion.</a:t>
          </a:r>
          <a:r>
            <a:rPr lang="fr-FR" sz="1100" baseline="0"/>
            <a:t> Depuis 2019, </a:t>
          </a:r>
          <a:r>
            <a:rPr lang="fr-FR" sz="1100" b="1" baseline="0"/>
            <a:t>Gefosat</a:t>
          </a:r>
          <a:r>
            <a:rPr lang="fr-FR" sz="1100" baseline="0"/>
            <a:t> assure la mise à jour et les évolutions de l'outil.</a:t>
          </a:r>
          <a:endParaRPr lang="fr-FR" sz="1100"/>
        </a:p>
        <a:p>
          <a:r>
            <a:rPr lang="fr-FR" sz="1100"/>
            <a:t>Ce simulateur a pour objectif </a:t>
          </a:r>
          <a:r>
            <a:rPr lang="fr-FR" sz="1100" baseline="0"/>
            <a:t> de partager d</a:t>
          </a:r>
          <a:r>
            <a:rPr lang="fr-FR" sz="1100"/>
            <a:t>es références communes et de faciliter la simulation du coût d'usage et du reste pour vivre des futurs locataires de logements très sociaux produits par acquisition-amélioration ou bail à réhabilitation.</a:t>
          </a:r>
        </a:p>
        <a:p>
          <a:r>
            <a:rPr lang="fr-FR" sz="1100"/>
            <a:t>Il est maintenu à jour sur la base des tarifs réglementés pour l'électricité et le gaz de réseau et la </a:t>
          </a:r>
          <a:r>
            <a:rPr lang="fr-FR" sz="1100" u="none"/>
            <a:t>base ministérielle Pégase </a:t>
          </a:r>
          <a:r>
            <a:rPr lang="fr-FR" sz="1100"/>
            <a:t>pour les autres.</a:t>
          </a:r>
        </a:p>
        <a:p>
          <a:r>
            <a:rPr lang="fr-FR" sz="1100"/>
            <a:t>Les tarifs socaux (TPN et TSS) ont</a:t>
          </a:r>
          <a:r>
            <a:rPr lang="fr-FR" sz="1100" baseline="0"/>
            <a:t> été remplacés par le chèque énergie.</a:t>
          </a:r>
          <a:endParaRPr lang="fr-FR" sz="1100"/>
        </a:p>
        <a:p>
          <a:r>
            <a:rPr lang="fr-FR" sz="1100"/>
            <a:t>La simulation</a:t>
          </a:r>
          <a:r>
            <a:rPr lang="fr-FR" sz="1100" baseline="0"/>
            <a:t> produite n'est ni précise ni exacte mais vise à projeter au mieux, sur la base d'informations simples et au-delà des consommations conventionnelles, le coût complet du logement pour les locataires auquel il sera loué.</a:t>
          </a:r>
          <a:endParaRPr lang="fr-FR" sz="1100"/>
        </a:p>
        <a:p>
          <a:endParaRPr lang="fr-FR" sz="1100" b="1"/>
        </a:p>
        <a:p>
          <a:r>
            <a:rPr lang="fr-FR" sz="1200" b="1"/>
            <a:t>Conditions d'utilisation et de diffusion</a:t>
          </a:r>
        </a:p>
        <a:p>
          <a:r>
            <a:rPr lang="fr-FR" sz="1100"/>
            <a:t>Il est utilisable par toute personne ou organisation qui le souhaite, dans les </a:t>
          </a:r>
          <a:r>
            <a:rPr lang="fr-FR" sz="1100" b="1"/>
            <a:t>conditions de Licence libre </a:t>
          </a:r>
          <a:r>
            <a:rPr lang="fr-FR" sz="1100" b="1" i="1"/>
            <a:t>Creative commons </a:t>
          </a:r>
          <a:r>
            <a:rPr lang="fr-FR" sz="1100" b="1"/>
            <a:t>suivantes </a:t>
          </a:r>
          <a:r>
            <a:rPr lang="fr-FR" sz="1100"/>
            <a:t>: paternité (pas d'usage sans citer explicitement les auteurs ALE 37,Gefosat  et Fondation Abbé Pierre), pas d'utilisation commerciale, partage des conditions initiales à l'identique. Les retours de bug ou</a:t>
          </a:r>
          <a:r>
            <a:rPr lang="fr-FR" sz="1100" baseline="0"/>
            <a:t> suggestions sont acceptés, mais aucune garantie de maintenance n'est donnée </a:t>
          </a:r>
          <a:r>
            <a:rPr lang="fr-FR" sz="1100" baseline="0">
              <a:solidFill>
                <a:schemeClr val="dk1"/>
              </a:solidFill>
              <a:latin typeface="+mn-lt"/>
              <a:ea typeface="+mn-ea"/>
              <a:cs typeface="+mn-cs"/>
            </a:rPr>
            <a:t>(indiquer "outil de simulation" dans l'objet de vos messages adressés à JCOURBIN@fondation-abbe-pierre.fr).</a:t>
          </a:r>
          <a:endParaRPr lang="fr-FR" sz="1100"/>
        </a:p>
      </xdr:txBody>
    </xdr:sp>
    <xdr:clientData/>
  </xdr:twoCellAnchor>
  <xdr:twoCellAnchor editAs="oneCell">
    <xdr:from>
      <xdr:col>4</xdr:col>
      <xdr:colOff>412749</xdr:colOff>
      <xdr:row>27</xdr:row>
      <xdr:rowOff>243419</xdr:rowOff>
    </xdr:from>
    <xdr:to>
      <xdr:col>7</xdr:col>
      <xdr:colOff>575230</xdr:colOff>
      <xdr:row>29</xdr:row>
      <xdr:rowOff>135469</xdr:rowOff>
    </xdr:to>
    <xdr:pic>
      <xdr:nvPicPr>
        <xdr:cNvPr id="16" name="Image 15"/>
        <xdr:cNvPicPr>
          <a:picLocks noChangeAspect="1"/>
        </xdr:cNvPicPr>
      </xdr:nvPicPr>
      <xdr:blipFill>
        <a:blip xmlns:r="http://schemas.openxmlformats.org/officeDocument/2006/relationships" r:embed="rId1" cstate="print"/>
        <a:stretch>
          <a:fillRect/>
        </a:stretch>
      </xdr:blipFill>
      <xdr:spPr>
        <a:xfrm>
          <a:off x="3460749" y="14986002"/>
          <a:ext cx="1961648" cy="495300"/>
        </a:xfrm>
        <a:prstGeom prst="rect">
          <a:avLst/>
        </a:prstGeom>
      </xdr:spPr>
    </xdr:pic>
    <xdr:clientData/>
  </xdr:twoCellAnchor>
  <xdr:twoCellAnchor editAs="oneCell">
    <xdr:from>
      <xdr:col>4</xdr:col>
      <xdr:colOff>339726</xdr:colOff>
      <xdr:row>34</xdr:row>
      <xdr:rowOff>244473</xdr:rowOff>
    </xdr:from>
    <xdr:to>
      <xdr:col>7</xdr:col>
      <xdr:colOff>502207</xdr:colOff>
      <xdr:row>36</xdr:row>
      <xdr:rowOff>136523</xdr:rowOff>
    </xdr:to>
    <xdr:pic>
      <xdr:nvPicPr>
        <xdr:cNvPr id="18" name="Image 17"/>
        <xdr:cNvPicPr>
          <a:picLocks noChangeAspect="1"/>
        </xdr:cNvPicPr>
      </xdr:nvPicPr>
      <xdr:blipFill>
        <a:blip xmlns:r="http://schemas.openxmlformats.org/officeDocument/2006/relationships" r:embed="rId1" cstate="print"/>
        <a:stretch>
          <a:fillRect/>
        </a:stretch>
      </xdr:blipFill>
      <xdr:spPr>
        <a:xfrm>
          <a:off x="3387726" y="17294223"/>
          <a:ext cx="1961648" cy="495300"/>
        </a:xfrm>
        <a:prstGeom prst="rect">
          <a:avLst/>
        </a:prstGeom>
      </xdr:spPr>
    </xdr:pic>
    <xdr:clientData/>
  </xdr:twoCellAnchor>
  <xdr:twoCellAnchor editAs="oneCell">
    <xdr:from>
      <xdr:col>12</xdr:col>
      <xdr:colOff>105834</xdr:colOff>
      <xdr:row>24</xdr:row>
      <xdr:rowOff>21167</xdr:rowOff>
    </xdr:from>
    <xdr:to>
      <xdr:col>16</xdr:col>
      <xdr:colOff>493263</xdr:colOff>
      <xdr:row>24</xdr:row>
      <xdr:rowOff>453167</xdr:rowOff>
    </xdr:to>
    <xdr:pic>
      <xdr:nvPicPr>
        <xdr:cNvPr id="3" name="Image 2"/>
        <xdr:cNvPicPr>
          <a:picLocks noChangeAspect="1"/>
        </xdr:cNvPicPr>
      </xdr:nvPicPr>
      <xdr:blipFill>
        <a:blip xmlns:r="http://schemas.openxmlformats.org/officeDocument/2006/relationships" r:embed="rId2"/>
        <a:stretch>
          <a:fillRect/>
        </a:stretch>
      </xdr:blipFill>
      <xdr:spPr>
        <a:xfrm>
          <a:off x="8964084" y="5196417"/>
          <a:ext cx="3435429" cy="432000"/>
        </a:xfrm>
        <a:prstGeom prst="rect">
          <a:avLst/>
        </a:prstGeom>
      </xdr:spPr>
    </xdr:pic>
    <xdr:clientData/>
  </xdr:twoCellAnchor>
  <xdr:twoCellAnchor editAs="oneCell">
    <xdr:from>
      <xdr:col>12</xdr:col>
      <xdr:colOff>95251</xdr:colOff>
      <xdr:row>24</xdr:row>
      <xdr:rowOff>486832</xdr:rowOff>
    </xdr:from>
    <xdr:to>
      <xdr:col>16</xdr:col>
      <xdr:colOff>552026</xdr:colOff>
      <xdr:row>25</xdr:row>
      <xdr:rowOff>114499</xdr:rowOff>
    </xdr:to>
    <xdr:pic>
      <xdr:nvPicPr>
        <xdr:cNvPr id="4" name="Image 3"/>
        <xdr:cNvPicPr>
          <a:picLocks noChangeAspect="1"/>
        </xdr:cNvPicPr>
      </xdr:nvPicPr>
      <xdr:blipFill>
        <a:blip xmlns:r="http://schemas.openxmlformats.org/officeDocument/2006/relationships" r:embed="rId3"/>
        <a:stretch>
          <a:fillRect/>
        </a:stretch>
      </xdr:blipFill>
      <xdr:spPr>
        <a:xfrm>
          <a:off x="8953501" y="5662082"/>
          <a:ext cx="3504775" cy="432000"/>
        </a:xfrm>
        <a:prstGeom prst="rect">
          <a:avLst/>
        </a:prstGeom>
      </xdr:spPr>
    </xdr:pic>
    <xdr:clientData/>
  </xdr:twoCellAnchor>
  <xdr:twoCellAnchor editAs="oneCell">
    <xdr:from>
      <xdr:col>4</xdr:col>
      <xdr:colOff>275167</xdr:colOff>
      <xdr:row>26</xdr:row>
      <xdr:rowOff>656168</xdr:rowOff>
    </xdr:from>
    <xdr:to>
      <xdr:col>8</xdr:col>
      <xdr:colOff>666381</xdr:colOff>
      <xdr:row>26</xdr:row>
      <xdr:rowOff>878418</xdr:rowOff>
    </xdr:to>
    <xdr:pic>
      <xdr:nvPicPr>
        <xdr:cNvPr id="5" name="Image 4"/>
        <xdr:cNvPicPr>
          <a:picLocks noChangeAspect="1"/>
        </xdr:cNvPicPr>
      </xdr:nvPicPr>
      <xdr:blipFill rotWithShape="1">
        <a:blip xmlns:r="http://schemas.openxmlformats.org/officeDocument/2006/relationships" r:embed="rId4"/>
        <a:srcRect t="12700" b="20624"/>
        <a:stretch/>
      </xdr:blipFill>
      <xdr:spPr>
        <a:xfrm>
          <a:off x="3524250" y="6826251"/>
          <a:ext cx="2952381" cy="222250"/>
        </a:xfrm>
        <a:prstGeom prst="rect">
          <a:avLst/>
        </a:prstGeom>
      </xdr:spPr>
    </xdr:pic>
    <xdr:clientData/>
  </xdr:twoCellAnchor>
  <xdr:twoCellAnchor editAs="oneCell">
    <xdr:from>
      <xdr:col>4</xdr:col>
      <xdr:colOff>201083</xdr:colOff>
      <xdr:row>33</xdr:row>
      <xdr:rowOff>63500</xdr:rowOff>
    </xdr:from>
    <xdr:to>
      <xdr:col>8</xdr:col>
      <xdr:colOff>192297</xdr:colOff>
      <xdr:row>33</xdr:row>
      <xdr:rowOff>285750</xdr:rowOff>
    </xdr:to>
    <xdr:pic>
      <xdr:nvPicPr>
        <xdr:cNvPr id="6" name="Image 5"/>
        <xdr:cNvPicPr>
          <a:picLocks noChangeAspect="1"/>
        </xdr:cNvPicPr>
      </xdr:nvPicPr>
      <xdr:blipFill rotWithShape="1">
        <a:blip xmlns:r="http://schemas.openxmlformats.org/officeDocument/2006/relationships" r:embed="rId5"/>
        <a:srcRect b="19530"/>
        <a:stretch/>
      </xdr:blipFill>
      <xdr:spPr>
        <a:xfrm>
          <a:off x="3450166" y="9419167"/>
          <a:ext cx="2552381" cy="222250"/>
        </a:xfrm>
        <a:prstGeom prst="rect">
          <a:avLst/>
        </a:prstGeom>
      </xdr:spPr>
    </xdr:pic>
    <xdr:clientData/>
  </xdr:twoCellAnchor>
  <xdr:twoCellAnchor editAs="oneCell">
    <xdr:from>
      <xdr:col>10</xdr:col>
      <xdr:colOff>158749</xdr:colOff>
      <xdr:row>33</xdr:row>
      <xdr:rowOff>52915</xdr:rowOff>
    </xdr:from>
    <xdr:to>
      <xdr:col>16</xdr:col>
      <xdr:colOff>277033</xdr:colOff>
      <xdr:row>39</xdr:row>
      <xdr:rowOff>59999</xdr:rowOff>
    </xdr:to>
    <xdr:pic>
      <xdr:nvPicPr>
        <xdr:cNvPr id="7" name="Image 6"/>
        <xdr:cNvPicPr>
          <a:picLocks noChangeAspect="1"/>
        </xdr:cNvPicPr>
      </xdr:nvPicPr>
      <xdr:blipFill>
        <a:blip xmlns:r="http://schemas.openxmlformats.org/officeDocument/2006/relationships" r:embed="rId6"/>
        <a:stretch>
          <a:fillRect/>
        </a:stretch>
      </xdr:blipFill>
      <xdr:spPr>
        <a:xfrm>
          <a:off x="7492999" y="9408582"/>
          <a:ext cx="4690284" cy="158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714374</xdr:colOff>
      <xdr:row>9</xdr:row>
      <xdr:rowOff>161925</xdr:rowOff>
    </xdr:from>
    <xdr:to>
      <xdr:col>20</xdr:col>
      <xdr:colOff>457200</xdr:colOff>
      <xdr:row>25</xdr:row>
      <xdr:rowOff>95250</xdr:rowOff>
    </xdr:to>
    <xdr:sp macro="" textlink="">
      <xdr:nvSpPr>
        <xdr:cNvPr id="3" name="ZoneTexte 2"/>
        <xdr:cNvSpPr txBox="1"/>
      </xdr:nvSpPr>
      <xdr:spPr>
        <a:xfrm>
          <a:off x="8639174" y="3228975"/>
          <a:ext cx="5819776"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t>(1) Chèque Energie</a:t>
          </a:r>
          <a:r>
            <a:rPr lang="fr-FR" sz="1100"/>
            <a:t>: </a:t>
          </a:r>
          <a:r>
            <a:rPr lang="fr-FR" sz="1000"/>
            <a:t>Dispositif d’aide au paiement des dépenses d’énergie qui s’est substitué aux tarifs sociaux de l’énergie (tarif de première nécessité pour l’électricité et tarif spécial de solidarité pour le gaz naturel). Il est attribué sur la base d’un critère fiscal unique, en tenant compte du revenu fiscal de référence du ménage.</a:t>
          </a:r>
          <a:br>
            <a:rPr lang="fr-FR" sz="1000"/>
          </a:br>
          <a:r>
            <a:rPr lang="fr-FR" sz="1000"/>
            <a:t>Il permet aux ménages bénéficiaires de régler des factures d’énergie (électricité, gaz, fioul, bois…) ou de financer une partie des travaux d’économies d’énergie qu’ils engagent dans leur logement.</a:t>
          </a:r>
        </a:p>
        <a:p>
          <a:endParaRPr lang="fr-FR" sz="400"/>
        </a:p>
        <a:p>
          <a:r>
            <a:rPr lang="fr-FR" sz="1100" b="1"/>
            <a:t>(2) Unité de Consommation </a:t>
          </a:r>
          <a:r>
            <a:rPr lang="fr-FR" sz="1100" b="1" baseline="0"/>
            <a:t> </a:t>
          </a:r>
          <a:r>
            <a:rPr lang="fr-FR" sz="1100" baseline="0"/>
            <a:t>= </a:t>
          </a:r>
          <a:r>
            <a:rPr lang="fr-FR" sz="1000"/>
            <a:t>Pondération  des ressources ou des dépenses des</a:t>
          </a:r>
          <a:r>
            <a:rPr lang="fr-FR" sz="1000" baseline="0"/>
            <a:t> ménages </a:t>
          </a:r>
          <a:r>
            <a:rPr lang="fr-FR" sz="1000"/>
            <a:t>sur la base suivante : </a:t>
          </a:r>
        </a:p>
        <a:p>
          <a:r>
            <a:rPr lang="fr-FR" sz="1000"/>
            <a:t>UC</a:t>
          </a:r>
          <a:r>
            <a:rPr lang="fr-FR" sz="1000" baseline="0"/>
            <a:t> = 1 pour la première personne du ménage</a:t>
          </a:r>
        </a:p>
        <a:p>
          <a:r>
            <a:rPr lang="fr-FR" sz="1000" baseline="0"/>
            <a:t>UC=0,5 pour toute autre personne de 14 ans et plus</a:t>
          </a:r>
        </a:p>
        <a:p>
          <a:r>
            <a:rPr lang="fr-FR" sz="1000" baseline="0"/>
            <a:t>UC=0,3 pour toute autre personne de moins de 14 ans.</a:t>
          </a:r>
        </a:p>
        <a:p>
          <a:r>
            <a:rPr lang="fr-FR" sz="1000" baseline="0"/>
            <a:t>Exemple : </a:t>
          </a:r>
        </a:p>
        <a:p>
          <a:r>
            <a:rPr lang="fr-FR" sz="1000" baseline="0"/>
            <a:t>1 couple avec 1 enfant de 12 ans = 1 + 0,5 + 0,3 = 1,8 UC</a:t>
          </a:r>
        </a:p>
        <a:p>
          <a:r>
            <a:rPr lang="fr-FR" sz="1000" baseline="0"/>
            <a:t>Référence :  le seuil de pauvreté en France est aujourd'hui de 1 015 € pour une personne seule..</a:t>
          </a:r>
          <a:endParaRPr lang="fr-FR" sz="1000"/>
        </a:p>
      </xdr:txBody>
    </xdr:sp>
    <xdr:clientData/>
  </xdr:twoCellAnchor>
  <xdr:twoCellAnchor>
    <xdr:from>
      <xdr:col>0</xdr:col>
      <xdr:colOff>1</xdr:colOff>
      <xdr:row>25</xdr:row>
      <xdr:rowOff>0</xdr:rowOff>
    </xdr:from>
    <xdr:to>
      <xdr:col>5</xdr:col>
      <xdr:colOff>571501</xdr:colOff>
      <xdr:row>33</xdr:row>
      <xdr:rowOff>79375</xdr:rowOff>
    </xdr:to>
    <xdr:sp macro="" textlink="">
      <xdr:nvSpPr>
        <xdr:cNvPr id="6" name="ZoneTexte 5"/>
        <xdr:cNvSpPr txBox="1"/>
      </xdr:nvSpPr>
      <xdr:spPr>
        <a:xfrm>
          <a:off x="95251" y="5524500"/>
          <a:ext cx="4095750" cy="160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u="sng">
              <a:solidFill>
                <a:sysClr val="windowText" lastClr="000000"/>
              </a:solidFill>
            </a:rPr>
            <a:t>Outil conçu et réalisé par :</a:t>
          </a:r>
        </a:p>
      </xdr:txBody>
    </xdr:sp>
    <xdr:clientData/>
  </xdr:twoCellAnchor>
  <xdr:twoCellAnchor editAs="oneCell">
    <xdr:from>
      <xdr:col>0</xdr:col>
      <xdr:colOff>95250</xdr:colOff>
      <xdr:row>26</xdr:row>
      <xdr:rowOff>111125</xdr:rowOff>
    </xdr:from>
    <xdr:to>
      <xdr:col>1</xdr:col>
      <xdr:colOff>303782</xdr:colOff>
      <xdr:row>33</xdr:row>
      <xdr:rowOff>37625</xdr:rowOff>
    </xdr:to>
    <xdr:pic>
      <xdr:nvPicPr>
        <xdr:cNvPr id="7" name="Imag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5797550"/>
          <a:ext cx="1027682" cy="1260000"/>
        </a:xfrm>
        <a:prstGeom prst="rect">
          <a:avLst/>
        </a:prstGeom>
      </xdr:spPr>
    </xdr:pic>
    <xdr:clientData/>
  </xdr:twoCellAnchor>
  <xdr:twoCellAnchor editAs="oneCell">
    <xdr:from>
      <xdr:col>1</xdr:col>
      <xdr:colOff>400503</xdr:colOff>
      <xdr:row>28</xdr:row>
      <xdr:rowOff>47625</xdr:rowOff>
    </xdr:from>
    <xdr:to>
      <xdr:col>4</xdr:col>
      <xdr:colOff>175217</xdr:colOff>
      <xdr:row>33</xdr:row>
      <xdr:rowOff>31125</xdr:rowOff>
    </xdr:to>
    <xdr:pic>
      <xdr:nvPicPr>
        <xdr:cNvPr id="8" name="Imag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6932" y="6483804"/>
          <a:ext cx="1734142" cy="936000"/>
        </a:xfrm>
        <a:prstGeom prst="rect">
          <a:avLst/>
        </a:prstGeom>
      </xdr:spPr>
    </xdr:pic>
    <xdr:clientData/>
  </xdr:twoCellAnchor>
  <xdr:twoCellAnchor editAs="oneCell">
    <xdr:from>
      <xdr:col>4</xdr:col>
      <xdr:colOff>240846</xdr:colOff>
      <xdr:row>27</xdr:row>
      <xdr:rowOff>140607</xdr:rowOff>
    </xdr:from>
    <xdr:to>
      <xdr:col>5</xdr:col>
      <xdr:colOff>546457</xdr:colOff>
      <xdr:row>33</xdr:row>
      <xdr:rowOff>41607</xdr:rowOff>
    </xdr:to>
    <xdr:pic>
      <xdr:nvPicPr>
        <xdr:cNvPr id="9" name="Imag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16703" y="6386286"/>
          <a:ext cx="1026790" cy="104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390525</xdr:colOff>
      <xdr:row>14</xdr:row>
      <xdr:rowOff>230716</xdr:rowOff>
    </xdr:from>
    <xdr:to>
      <xdr:col>19</xdr:col>
      <xdr:colOff>61384</xdr:colOff>
      <xdr:row>23</xdr:row>
      <xdr:rowOff>171450</xdr:rowOff>
    </xdr:to>
    <xdr:sp macro="" textlink="">
      <xdr:nvSpPr>
        <xdr:cNvPr id="6" name="ZoneTexte 5"/>
        <xdr:cNvSpPr txBox="1"/>
      </xdr:nvSpPr>
      <xdr:spPr>
        <a:xfrm>
          <a:off x="8724900" y="4583641"/>
          <a:ext cx="6252634" cy="2064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t>(1) Chèque Energie</a:t>
          </a:r>
          <a:r>
            <a:rPr lang="fr-FR" sz="1100"/>
            <a:t>: </a:t>
          </a:r>
          <a:r>
            <a:rPr lang="fr-FR" sz="1000"/>
            <a:t>Dispositif d’aide au paiement des dépenses d’énergie qui s’est substitué aux tarifs sociaux de l’énergie (tarif de première nécessité pour l’électricité et tarif spécial de solidarité pour le gaz naturel). Il est attribué sur la base d’un critère fiscal unique, en tenant compte du revenu fiscal de référence du ménage.</a:t>
          </a:r>
          <a:br>
            <a:rPr lang="fr-FR" sz="1000"/>
          </a:br>
          <a:r>
            <a:rPr lang="fr-FR" sz="1000"/>
            <a:t>Il permet aux ménages bénéficiaires de régler des factures d’énergie (électricité, gaz, fioul, bois…) ou de financer une partie des travaux d’économies d’énergie qu’ils engagent dans leur logement.</a:t>
          </a:r>
        </a:p>
        <a:p>
          <a:endParaRPr lang="fr-FR" sz="400"/>
        </a:p>
        <a:p>
          <a:r>
            <a:rPr lang="fr-FR" sz="1100" b="1"/>
            <a:t>(2) Unité de Consommation </a:t>
          </a:r>
          <a:r>
            <a:rPr lang="fr-FR" sz="1100" b="1" baseline="0"/>
            <a:t> </a:t>
          </a:r>
          <a:r>
            <a:rPr lang="fr-FR" sz="1100" baseline="0"/>
            <a:t>= </a:t>
          </a:r>
          <a:r>
            <a:rPr lang="fr-FR" sz="1000"/>
            <a:t>Pondération  des ressources ou des dépenses des</a:t>
          </a:r>
          <a:r>
            <a:rPr lang="fr-FR" sz="1000" baseline="0"/>
            <a:t> ménages </a:t>
          </a:r>
          <a:r>
            <a:rPr lang="fr-FR" sz="1000"/>
            <a:t>sur la base suivante : </a:t>
          </a:r>
        </a:p>
        <a:p>
          <a:r>
            <a:rPr lang="fr-FR" sz="1000"/>
            <a:t>UC</a:t>
          </a:r>
          <a:r>
            <a:rPr lang="fr-FR" sz="1000" baseline="0"/>
            <a:t> = 1 pour la première personne du ménage</a:t>
          </a:r>
        </a:p>
        <a:p>
          <a:r>
            <a:rPr lang="fr-FR" sz="1000" baseline="0"/>
            <a:t>UC=0,5 pour toute autre personne de 14 ans et plus</a:t>
          </a:r>
        </a:p>
        <a:p>
          <a:r>
            <a:rPr lang="fr-FR" sz="1000" baseline="0"/>
            <a:t>UC=0,3 pour toute autre personne de moins de 14 ans.</a:t>
          </a:r>
        </a:p>
        <a:p>
          <a:r>
            <a:rPr lang="fr-FR" sz="1000" baseline="0"/>
            <a:t>Exemple : </a:t>
          </a:r>
        </a:p>
        <a:p>
          <a:r>
            <a:rPr lang="fr-FR" sz="1000" baseline="0"/>
            <a:t>1 couple avec 1 enfant de 12 ans = 1 + 0,5 + 0,3 = 1,8 UC</a:t>
          </a:r>
        </a:p>
        <a:p>
          <a:r>
            <a:rPr lang="fr-FR" sz="1000" baseline="0"/>
            <a:t>Référence :  le seuil de pauvreté en France est aujourd'hui de 1 015 € pour une personne seule..</a:t>
          </a:r>
          <a:endParaRPr lang="fr-FR" sz="1000"/>
        </a:p>
      </xdr:txBody>
    </xdr:sp>
    <xdr:clientData/>
  </xdr:twoCellAnchor>
  <xdr:twoCellAnchor>
    <xdr:from>
      <xdr:col>0</xdr:col>
      <xdr:colOff>0</xdr:colOff>
      <xdr:row>30</xdr:row>
      <xdr:rowOff>63500</xdr:rowOff>
    </xdr:from>
    <xdr:to>
      <xdr:col>5</xdr:col>
      <xdr:colOff>238125</xdr:colOff>
      <xdr:row>38</xdr:row>
      <xdr:rowOff>142875</xdr:rowOff>
    </xdr:to>
    <xdr:sp macro="" textlink="">
      <xdr:nvSpPr>
        <xdr:cNvPr id="7" name="ZoneTexte 6"/>
        <xdr:cNvSpPr txBox="1"/>
      </xdr:nvSpPr>
      <xdr:spPr>
        <a:xfrm>
          <a:off x="158750" y="7464425"/>
          <a:ext cx="4070350" cy="160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u="sng">
              <a:solidFill>
                <a:sysClr val="windowText" lastClr="000000"/>
              </a:solidFill>
            </a:rPr>
            <a:t>Outil conçu et réalisé par :</a:t>
          </a:r>
        </a:p>
      </xdr:txBody>
    </xdr:sp>
    <xdr:clientData/>
  </xdr:twoCellAnchor>
  <xdr:twoCellAnchor editAs="oneCell">
    <xdr:from>
      <xdr:col>0</xdr:col>
      <xdr:colOff>63500</xdr:colOff>
      <xdr:row>31</xdr:row>
      <xdr:rowOff>174625</xdr:rowOff>
    </xdr:from>
    <xdr:to>
      <xdr:col>1</xdr:col>
      <xdr:colOff>195832</xdr:colOff>
      <xdr:row>38</xdr:row>
      <xdr:rowOff>101125</xdr:rowOff>
    </xdr:to>
    <xdr:pic>
      <xdr:nvPicPr>
        <xdr:cNvPr id="8" name="Imag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7826375"/>
          <a:ext cx="1021332" cy="1260000"/>
        </a:xfrm>
        <a:prstGeom prst="rect">
          <a:avLst/>
        </a:prstGeom>
      </xdr:spPr>
    </xdr:pic>
    <xdr:clientData/>
  </xdr:twoCellAnchor>
  <xdr:twoCellAnchor editAs="oneCell">
    <xdr:from>
      <xdr:col>1</xdr:col>
      <xdr:colOff>238125</xdr:colOff>
      <xdr:row>33</xdr:row>
      <xdr:rowOff>111125</xdr:rowOff>
    </xdr:from>
    <xdr:to>
      <xdr:col>3</xdr:col>
      <xdr:colOff>508139</xdr:colOff>
      <xdr:row>38</xdr:row>
      <xdr:rowOff>94625</xdr:rowOff>
    </xdr:to>
    <xdr:pic>
      <xdr:nvPicPr>
        <xdr:cNvPr id="9" name="Imag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7625" y="8143875"/>
          <a:ext cx="1730514" cy="936000"/>
        </a:xfrm>
        <a:prstGeom prst="rect">
          <a:avLst/>
        </a:prstGeom>
      </xdr:spPr>
    </xdr:pic>
    <xdr:clientData/>
  </xdr:twoCellAnchor>
  <xdr:twoCellAnchor editAs="oneCell">
    <xdr:from>
      <xdr:col>3</xdr:col>
      <xdr:colOff>587375</xdr:colOff>
      <xdr:row>33</xdr:row>
      <xdr:rowOff>0</xdr:rowOff>
    </xdr:from>
    <xdr:to>
      <xdr:col>5</xdr:col>
      <xdr:colOff>169086</xdr:colOff>
      <xdr:row>38</xdr:row>
      <xdr:rowOff>91500</xdr:rowOff>
    </xdr:to>
    <xdr:pic>
      <xdr:nvPicPr>
        <xdr:cNvPr id="10" name="Image 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7375" y="8032750"/>
          <a:ext cx="1042211" cy="1044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ervice-public.fr/particuliers/vosdroits/F16871" TargetMode="External"/><Relationship Id="rId7" Type="http://schemas.openxmlformats.org/officeDocument/2006/relationships/printerSettings" Target="../printerSettings/printerSettings1.bin"/><Relationship Id="rId2" Type="http://schemas.openxmlformats.org/officeDocument/2006/relationships/hyperlink" Target="https://www.aide-sociale.fr/rsa-socle-dossier-calcul/" TargetMode="External"/><Relationship Id="rId1" Type="http://schemas.openxmlformats.org/officeDocument/2006/relationships/hyperlink" Target="https://www.aide-sociale.fr/rsa-socle-dossier-calcul/" TargetMode="External"/><Relationship Id="rId6" Type="http://schemas.openxmlformats.org/officeDocument/2006/relationships/hyperlink" Target="https://www.service-public.fr/particuliers/vosdroits/F12242" TargetMode="External"/><Relationship Id="rId5" Type="http://schemas.openxmlformats.org/officeDocument/2006/relationships/hyperlink" Target="https://www.energie-info.fr/fiche_pratique/le-cheque-energie/" TargetMode="External"/><Relationship Id="rId4" Type="http://schemas.openxmlformats.org/officeDocument/2006/relationships/hyperlink" Target="https://www.service-public.fr/particuliers/vosdroits/F13213"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ajena.org/ressources/argus-energie.htm" TargetMode="External"/><Relationship Id="rId2" Type="http://schemas.openxmlformats.org/officeDocument/2006/relationships/hyperlink" Target="https://www.fournisseurs-electricite.com/engie/tarifs/tarif-reglemente-gaz" TargetMode="External"/><Relationship Id="rId1" Type="http://schemas.openxmlformats.org/officeDocument/2006/relationships/hyperlink" Target="https://www.fournisseurs-electricite.com/edf/tarifs/bleu-reglemente" TargetMode="Externa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hyperlink" Target="https://www.commentcamarche.net/forum/affich-2886210-excel-ne-pas-afficher-valeur" TargetMode="External"/><Relationship Id="rId1" Type="http://schemas.openxmlformats.org/officeDocument/2006/relationships/hyperlink" Target="https://apprendreexcel.com/excel-message-erreur-n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nergie-info.fr/fiche_pratique/le-cheque-energie/"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ervice-public.fr/particuliers/vosdroits/F13213" TargetMode="External"/><Relationship Id="rId2" Type="http://schemas.openxmlformats.org/officeDocument/2006/relationships/hyperlink" Target="https://www.service-public.fr/particuliers/vosdroits/F16871" TargetMode="External"/><Relationship Id="rId1" Type="http://schemas.openxmlformats.org/officeDocument/2006/relationships/hyperlink" Target="https://www.aide-sociale.fr/rsa-socle-dossier-calcul/" TargetMode="External"/><Relationship Id="rId4" Type="http://schemas.openxmlformats.org/officeDocument/2006/relationships/hyperlink" Target="https://www.service-public.fr/particuliers/vosdroits/F122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R64"/>
  <sheetViews>
    <sheetView showGridLines="0" zoomScale="90" zoomScaleNormal="90" workbookViewId="0">
      <selection activeCell="D2" sqref="D2:M3"/>
    </sheetView>
  </sheetViews>
  <sheetFormatPr baseColWidth="10" defaultRowHeight="14.4" x14ac:dyDescent="0.3"/>
  <cols>
    <col min="1" max="1" width="14.44140625" customWidth="1"/>
    <col min="7" max="7" width="4.109375" customWidth="1"/>
  </cols>
  <sheetData>
    <row r="2" spans="1:18" ht="15" customHeight="1" x14ac:dyDescent="0.3">
      <c r="A2" s="4"/>
      <c r="B2" s="4"/>
      <c r="C2" s="4"/>
      <c r="D2" s="268" t="s">
        <v>452</v>
      </c>
      <c r="E2" s="268"/>
      <c r="F2" s="268"/>
      <c r="G2" s="268"/>
      <c r="H2" s="268"/>
      <c r="I2" s="268"/>
      <c r="J2" s="268"/>
      <c r="K2" s="268"/>
      <c r="L2" s="268"/>
      <c r="M2" s="268"/>
    </row>
    <row r="3" spans="1:18" ht="15" customHeight="1" x14ac:dyDescent="0.3">
      <c r="A3" s="4"/>
      <c r="B3" s="4"/>
      <c r="C3" s="4"/>
      <c r="D3" s="268"/>
      <c r="E3" s="268"/>
      <c r="F3" s="268"/>
      <c r="G3" s="268"/>
      <c r="H3" s="268"/>
      <c r="I3" s="268"/>
      <c r="J3" s="268"/>
      <c r="K3" s="268"/>
      <c r="L3" s="268"/>
      <c r="M3" s="268"/>
    </row>
    <row r="7" spans="1:18" x14ac:dyDescent="0.3">
      <c r="A7" s="266"/>
      <c r="B7" s="267"/>
      <c r="C7" s="267"/>
      <c r="D7" s="267"/>
      <c r="E7" s="267"/>
      <c r="F7" s="267"/>
      <c r="G7" s="267"/>
      <c r="H7" s="267"/>
      <c r="I7" s="267"/>
      <c r="J7" s="267"/>
      <c r="K7" s="267"/>
      <c r="L7" s="267"/>
      <c r="M7" s="267"/>
      <c r="N7" s="267"/>
      <c r="O7" s="267"/>
      <c r="P7" s="267"/>
      <c r="Q7" s="267"/>
      <c r="R7" s="267"/>
    </row>
    <row r="8" spans="1:18" x14ac:dyDescent="0.3">
      <c r="A8" s="267"/>
      <c r="B8" s="267"/>
      <c r="C8" s="267"/>
      <c r="D8" s="267"/>
      <c r="E8" s="267"/>
      <c r="F8" s="267"/>
      <c r="G8" s="267"/>
      <c r="H8" s="267"/>
      <c r="I8" s="267"/>
      <c r="J8" s="267"/>
      <c r="K8" s="267"/>
      <c r="L8" s="267"/>
      <c r="M8" s="267"/>
      <c r="N8" s="267"/>
      <c r="O8" s="267"/>
      <c r="P8" s="267"/>
      <c r="Q8" s="267"/>
      <c r="R8" s="267"/>
    </row>
    <row r="9" spans="1:18" x14ac:dyDescent="0.3">
      <c r="A9" s="267"/>
      <c r="B9" s="267"/>
      <c r="C9" s="267"/>
      <c r="D9" s="267"/>
      <c r="E9" s="267"/>
      <c r="F9" s="267"/>
      <c r="G9" s="267"/>
      <c r="H9" s="267"/>
      <c r="I9" s="267"/>
      <c r="J9" s="267"/>
      <c r="K9" s="267"/>
      <c r="L9" s="267"/>
      <c r="M9" s="267"/>
      <c r="N9" s="267"/>
      <c r="O9" s="267"/>
      <c r="P9" s="267"/>
      <c r="Q9" s="267"/>
      <c r="R9" s="267"/>
    </row>
    <row r="10" spans="1:18" x14ac:dyDescent="0.3">
      <c r="A10" s="267"/>
      <c r="B10" s="267"/>
      <c r="C10" s="267"/>
      <c r="D10" s="267"/>
      <c r="E10" s="267"/>
      <c r="F10" s="267"/>
      <c r="G10" s="267"/>
      <c r="H10" s="267"/>
      <c r="I10" s="267"/>
      <c r="J10" s="267"/>
      <c r="K10" s="267"/>
      <c r="L10" s="267"/>
      <c r="M10" s="267"/>
      <c r="N10" s="267"/>
      <c r="O10" s="267"/>
      <c r="P10" s="267"/>
      <c r="Q10" s="267"/>
      <c r="R10" s="267"/>
    </row>
    <row r="11" spans="1:18" x14ac:dyDescent="0.3">
      <c r="A11" s="267"/>
      <c r="B11" s="267"/>
      <c r="C11" s="267"/>
      <c r="D11" s="267"/>
      <c r="E11" s="267"/>
      <c r="F11" s="267"/>
      <c r="G11" s="267"/>
      <c r="H11" s="267"/>
      <c r="I11" s="267"/>
      <c r="J11" s="267"/>
      <c r="K11" s="267"/>
      <c r="L11" s="267"/>
      <c r="M11" s="267"/>
      <c r="N11" s="267"/>
      <c r="O11" s="267"/>
      <c r="P11" s="267"/>
      <c r="Q11" s="267"/>
      <c r="R11" s="267"/>
    </row>
    <row r="12" spans="1:18" x14ac:dyDescent="0.3">
      <c r="A12" s="267"/>
      <c r="B12" s="267"/>
      <c r="C12" s="267"/>
      <c r="D12" s="267"/>
      <c r="E12" s="267"/>
      <c r="F12" s="267"/>
      <c r="G12" s="267"/>
      <c r="H12" s="267"/>
      <c r="I12" s="267"/>
      <c r="J12" s="267"/>
      <c r="K12" s="267"/>
      <c r="L12" s="267"/>
      <c r="M12" s="267"/>
      <c r="N12" s="267"/>
      <c r="O12" s="267"/>
      <c r="P12" s="267"/>
      <c r="Q12" s="267"/>
      <c r="R12" s="267"/>
    </row>
    <row r="13" spans="1:18" x14ac:dyDescent="0.3">
      <c r="A13" s="267"/>
      <c r="B13" s="267"/>
      <c r="C13" s="267"/>
      <c r="D13" s="267"/>
      <c r="E13" s="267"/>
      <c r="F13" s="267"/>
      <c r="G13" s="267"/>
      <c r="H13" s="267"/>
      <c r="I13" s="267"/>
      <c r="J13" s="267"/>
      <c r="K13" s="267"/>
      <c r="L13" s="267"/>
      <c r="M13" s="267"/>
      <c r="N13" s="267"/>
      <c r="O13" s="267"/>
      <c r="P13" s="267"/>
      <c r="Q13" s="267"/>
      <c r="R13" s="267"/>
    </row>
    <row r="14" spans="1:18" x14ac:dyDescent="0.3">
      <c r="A14" s="267"/>
      <c r="B14" s="267"/>
      <c r="C14" s="267"/>
      <c r="D14" s="267"/>
      <c r="E14" s="267"/>
      <c r="F14" s="267"/>
      <c r="G14" s="267"/>
      <c r="H14" s="267"/>
      <c r="I14" s="267"/>
      <c r="J14" s="267"/>
      <c r="K14" s="267"/>
      <c r="L14" s="267"/>
      <c r="M14" s="267"/>
      <c r="N14" s="267"/>
      <c r="O14" s="267"/>
      <c r="P14" s="267"/>
      <c r="Q14" s="267"/>
      <c r="R14" s="267"/>
    </row>
    <row r="18" spans="1:18" ht="18" x14ac:dyDescent="0.35">
      <c r="A18" s="203" t="s">
        <v>293</v>
      </c>
    </row>
    <row r="19" spans="1:18" ht="6.75" customHeight="1" x14ac:dyDescent="0.3"/>
    <row r="20" spans="1:18" s="145" customFormat="1" ht="29.25" customHeight="1" x14ac:dyDescent="0.3">
      <c r="A20" s="264" t="s">
        <v>408</v>
      </c>
      <c r="B20" s="264"/>
      <c r="C20" s="264"/>
      <c r="D20" s="264"/>
      <c r="E20" s="264"/>
      <c r="F20" s="264"/>
      <c r="G20" s="264"/>
      <c r="H20" s="264"/>
      <c r="I20" s="264"/>
      <c r="J20" s="264"/>
      <c r="K20" s="264"/>
      <c r="L20" s="264"/>
      <c r="M20" s="264"/>
      <c r="N20" s="264"/>
      <c r="O20" s="264"/>
      <c r="P20" s="264"/>
      <c r="Q20" s="264"/>
      <c r="R20" s="264"/>
    </row>
    <row r="21" spans="1:18" s="145" customFormat="1" ht="9" customHeight="1" x14ac:dyDescent="0.3"/>
    <row r="22" spans="1:18" s="145" customFormat="1" ht="21.75" customHeight="1" x14ac:dyDescent="0.3">
      <c r="A22" s="204" t="s">
        <v>409</v>
      </c>
    </row>
    <row r="23" spans="1:18" s="145" customFormat="1" ht="32.25" customHeight="1" x14ac:dyDescent="0.3">
      <c r="A23" s="264" t="s">
        <v>464</v>
      </c>
      <c r="B23" s="264"/>
      <c r="C23" s="264"/>
      <c r="D23" s="264"/>
      <c r="E23" s="264"/>
      <c r="F23" s="264"/>
      <c r="G23" s="264"/>
      <c r="H23" s="264"/>
      <c r="I23" s="264"/>
      <c r="J23" s="264"/>
      <c r="K23" s="264"/>
      <c r="L23" s="264"/>
      <c r="M23" s="264"/>
      <c r="N23" s="264"/>
      <c r="O23" s="264"/>
      <c r="P23" s="264"/>
      <c r="Q23" s="264"/>
      <c r="R23" s="264"/>
    </row>
    <row r="24" spans="1:18" s="145" customFormat="1" ht="33.75" customHeight="1" x14ac:dyDescent="0.3">
      <c r="A24" s="264" t="s">
        <v>410</v>
      </c>
      <c r="B24" s="264"/>
      <c r="C24" s="264"/>
      <c r="D24" s="264"/>
      <c r="E24" s="264"/>
      <c r="F24" s="264"/>
      <c r="G24" s="264"/>
      <c r="H24" s="264"/>
      <c r="I24" s="264"/>
      <c r="J24" s="264"/>
      <c r="K24" s="264"/>
      <c r="L24" s="264"/>
      <c r="M24" s="264"/>
      <c r="N24" s="264"/>
      <c r="O24" s="264"/>
      <c r="P24" s="264"/>
      <c r="Q24" s="264"/>
      <c r="R24" s="264"/>
    </row>
    <row r="25" spans="1:18" s="145" customFormat="1" ht="63" customHeight="1" x14ac:dyDescent="0.3">
      <c r="A25" s="264" t="s">
        <v>434</v>
      </c>
      <c r="B25" s="264"/>
      <c r="C25" s="264"/>
      <c r="D25" s="264"/>
      <c r="E25" s="264"/>
      <c r="F25" s="264"/>
      <c r="G25" s="264"/>
      <c r="H25" s="264"/>
      <c r="I25" s="264"/>
      <c r="J25" s="264"/>
      <c r="K25" s="264"/>
      <c r="L25" s="264"/>
      <c r="M25" s="264"/>
      <c r="N25" s="264"/>
      <c r="O25" s="264"/>
      <c r="P25" s="264"/>
      <c r="Q25" s="264"/>
      <c r="R25" s="264"/>
    </row>
    <row r="26" spans="1:18" s="145" customFormat="1" x14ac:dyDescent="0.3">
      <c r="A26" s="264" t="s">
        <v>411</v>
      </c>
      <c r="B26" s="264"/>
      <c r="C26" s="264"/>
      <c r="D26" s="264"/>
      <c r="E26" s="264"/>
      <c r="F26" s="264"/>
      <c r="G26" s="264"/>
      <c r="H26" s="264"/>
      <c r="I26" s="264"/>
      <c r="J26" s="264"/>
      <c r="K26" s="264"/>
      <c r="L26" s="264"/>
      <c r="M26" s="264"/>
      <c r="N26" s="264"/>
      <c r="O26" s="264"/>
      <c r="P26" s="264"/>
      <c r="Q26" s="264"/>
      <c r="R26" s="264"/>
    </row>
    <row r="27" spans="1:18" s="145" customFormat="1" ht="80.25" customHeight="1" x14ac:dyDescent="0.3">
      <c r="A27" s="264" t="s">
        <v>412</v>
      </c>
      <c r="B27" s="264"/>
      <c r="C27" s="264"/>
      <c r="D27" s="264"/>
      <c r="E27" s="264"/>
      <c r="F27" s="264"/>
      <c r="G27" s="264"/>
      <c r="H27" s="264"/>
      <c r="I27" s="264"/>
      <c r="J27" s="264"/>
      <c r="K27" s="264"/>
      <c r="L27" s="264"/>
      <c r="M27" s="264"/>
      <c r="N27" s="264"/>
      <c r="O27" s="264"/>
      <c r="P27" s="264"/>
      <c r="Q27" s="264"/>
      <c r="R27" s="264"/>
    </row>
    <row r="28" spans="1:18" s="145" customFormat="1" ht="32.25" customHeight="1" x14ac:dyDescent="0.3">
      <c r="A28" s="264" t="s">
        <v>413</v>
      </c>
      <c r="B28" s="264"/>
      <c r="C28" s="264"/>
      <c r="D28" s="264"/>
      <c r="E28" s="264"/>
      <c r="F28" s="264"/>
      <c r="G28" s="264"/>
      <c r="H28" s="264"/>
      <c r="I28" s="264"/>
      <c r="J28" s="264"/>
      <c r="K28" s="264"/>
      <c r="L28" s="264"/>
      <c r="M28" s="264"/>
      <c r="N28" s="264"/>
      <c r="O28" s="264"/>
      <c r="P28" s="264"/>
      <c r="Q28" s="264"/>
      <c r="R28" s="264"/>
    </row>
    <row r="29" spans="1:18" s="145" customFormat="1" x14ac:dyDescent="0.3"/>
    <row r="30" spans="1:18" s="145" customFormat="1" ht="23.25" customHeight="1" x14ac:dyDescent="0.3"/>
    <row r="31" spans="1:18" s="145" customFormat="1" ht="21.75" customHeight="1" x14ac:dyDescent="0.3">
      <c r="A31" s="204" t="s">
        <v>414</v>
      </c>
      <c r="B31" s="146"/>
      <c r="C31" s="146"/>
      <c r="D31" s="146"/>
      <c r="E31" s="146"/>
      <c r="F31" s="146"/>
      <c r="G31" s="146"/>
      <c r="H31" s="146"/>
      <c r="I31" s="146"/>
      <c r="J31" s="146"/>
      <c r="K31" s="146"/>
      <c r="L31" s="146"/>
      <c r="M31" s="146"/>
      <c r="N31" s="146"/>
      <c r="O31" s="146"/>
      <c r="P31" s="146"/>
      <c r="Q31" s="146"/>
      <c r="R31" s="146"/>
    </row>
    <row r="32" spans="1:18" s="145" customFormat="1" ht="30.75" customHeight="1" x14ac:dyDescent="0.3">
      <c r="A32" s="264" t="s">
        <v>415</v>
      </c>
      <c r="B32" s="264"/>
      <c r="C32" s="264"/>
      <c r="D32" s="264"/>
      <c r="E32" s="264"/>
      <c r="F32" s="264"/>
      <c r="G32" s="264"/>
      <c r="H32" s="264"/>
      <c r="I32" s="264"/>
      <c r="J32" s="264"/>
      <c r="K32" s="264"/>
      <c r="L32" s="264"/>
      <c r="M32" s="264"/>
      <c r="N32" s="264"/>
      <c r="O32" s="264"/>
      <c r="P32" s="264"/>
      <c r="Q32" s="264"/>
      <c r="R32" s="264"/>
    </row>
    <row r="33" spans="1:18" s="145" customFormat="1" ht="47.25" customHeight="1" x14ac:dyDescent="0.3">
      <c r="A33" s="264" t="s">
        <v>416</v>
      </c>
      <c r="B33" s="264"/>
      <c r="C33" s="264"/>
      <c r="D33" s="264"/>
      <c r="E33" s="264"/>
      <c r="F33" s="264"/>
      <c r="G33" s="264"/>
      <c r="H33" s="264"/>
      <c r="I33" s="264"/>
      <c r="J33" s="264"/>
      <c r="K33" s="264"/>
      <c r="L33" s="264"/>
      <c r="M33" s="264"/>
      <c r="N33" s="264"/>
      <c r="O33" s="264"/>
      <c r="P33" s="264"/>
      <c r="Q33" s="264"/>
      <c r="R33" s="264"/>
    </row>
    <row r="34" spans="1:18" s="145" customFormat="1" ht="31.5" customHeight="1" x14ac:dyDescent="0.3">
      <c r="A34" s="264" t="s">
        <v>417</v>
      </c>
      <c r="B34" s="264"/>
      <c r="C34" s="264"/>
      <c r="D34" s="264"/>
      <c r="E34" s="264"/>
      <c r="F34" s="264"/>
      <c r="G34" s="264"/>
      <c r="H34" s="264"/>
      <c r="I34" s="264"/>
      <c r="J34" s="264"/>
      <c r="K34" s="264"/>
      <c r="L34" s="264"/>
      <c r="M34" s="264"/>
      <c r="N34" s="264"/>
      <c r="O34" s="264"/>
      <c r="P34" s="264"/>
      <c r="Q34" s="264"/>
      <c r="R34" s="264"/>
    </row>
    <row r="35" spans="1:18" ht="32.25" customHeight="1" x14ac:dyDescent="0.3">
      <c r="A35" s="264" t="s">
        <v>418</v>
      </c>
      <c r="B35" s="264"/>
      <c r="C35" s="264"/>
      <c r="D35" s="264"/>
      <c r="E35" s="264"/>
      <c r="F35" s="264"/>
      <c r="G35" s="264"/>
      <c r="H35" s="264"/>
      <c r="I35" s="264"/>
      <c r="J35" s="264"/>
      <c r="K35" s="264"/>
      <c r="L35" s="264"/>
      <c r="M35" s="264"/>
      <c r="N35" s="264"/>
      <c r="O35" s="264"/>
      <c r="P35" s="264"/>
      <c r="Q35" s="264"/>
      <c r="R35" s="264"/>
    </row>
    <row r="36" spans="1:18" x14ac:dyDescent="0.3">
      <c r="A36" s="264"/>
      <c r="B36" s="264"/>
      <c r="C36" s="264"/>
      <c r="D36" s="264"/>
      <c r="E36" s="264"/>
      <c r="F36" s="264"/>
      <c r="G36" s="264"/>
      <c r="H36" s="264"/>
      <c r="I36" s="264"/>
      <c r="J36" s="264"/>
      <c r="K36" s="264"/>
      <c r="L36" s="264"/>
      <c r="M36" s="264"/>
      <c r="N36" s="264"/>
      <c r="O36" s="264"/>
      <c r="P36" s="264"/>
      <c r="Q36" s="264"/>
      <c r="R36" s="264"/>
    </row>
    <row r="37" spans="1:18" x14ac:dyDescent="0.3">
      <c r="A37" s="141"/>
    </row>
    <row r="38" spans="1:18" x14ac:dyDescent="0.3">
      <c r="A38" s="264" t="s">
        <v>295</v>
      </c>
      <c r="B38" s="264"/>
      <c r="C38" s="264"/>
      <c r="D38" s="264"/>
      <c r="E38" s="264"/>
      <c r="F38" s="264"/>
      <c r="G38" s="264"/>
      <c r="H38" s="264"/>
      <c r="I38" s="264"/>
      <c r="J38" s="264"/>
      <c r="K38" s="264"/>
      <c r="L38" s="264"/>
      <c r="M38" s="264"/>
      <c r="N38" s="264"/>
      <c r="O38" s="264"/>
      <c r="P38" s="264"/>
      <c r="Q38" s="264"/>
      <c r="R38" s="264"/>
    </row>
    <row r="40" spans="1:18" ht="24.75" customHeight="1" x14ac:dyDescent="0.3">
      <c r="A40" s="204" t="s">
        <v>423</v>
      </c>
    </row>
    <row r="41" spans="1:18" ht="79.5" customHeight="1" x14ac:dyDescent="0.3">
      <c r="A41" s="264" t="s">
        <v>458</v>
      </c>
      <c r="B41" s="264"/>
      <c r="C41" s="264"/>
      <c r="D41" s="264"/>
      <c r="E41" s="264"/>
      <c r="F41" s="264"/>
      <c r="G41" s="264"/>
      <c r="H41" s="264"/>
      <c r="I41" s="264"/>
      <c r="J41" s="264"/>
      <c r="K41" s="264"/>
      <c r="L41" s="264"/>
      <c r="M41" s="264"/>
      <c r="N41" s="264"/>
      <c r="O41" s="264"/>
      <c r="P41" s="264"/>
      <c r="Q41" s="264"/>
      <c r="R41" s="264"/>
    </row>
    <row r="42" spans="1:18" ht="5.25" customHeight="1" x14ac:dyDescent="0.3"/>
    <row r="43" spans="1:18" ht="51.75" customHeight="1" x14ac:dyDescent="0.3">
      <c r="A43" s="264" t="s">
        <v>419</v>
      </c>
      <c r="B43" s="264"/>
      <c r="C43" s="264"/>
      <c r="D43" s="264"/>
      <c r="E43" s="264"/>
      <c r="F43" s="264"/>
      <c r="G43" s="264"/>
      <c r="H43" s="264"/>
      <c r="I43" s="264"/>
      <c r="J43" s="264"/>
      <c r="K43" s="264"/>
      <c r="L43" s="264"/>
      <c r="M43" s="264"/>
      <c r="N43" s="264"/>
      <c r="O43" s="264"/>
      <c r="P43" s="264"/>
      <c r="Q43" s="264"/>
      <c r="R43" s="264"/>
    </row>
    <row r="44" spans="1:18" ht="5.25" customHeight="1" x14ac:dyDescent="0.3">
      <c r="A44" s="5"/>
    </row>
    <row r="45" spans="1:18" ht="153.75" customHeight="1" x14ac:dyDescent="0.3">
      <c r="A45" s="264" t="s">
        <v>457</v>
      </c>
      <c r="B45" s="264"/>
      <c r="C45" s="264"/>
      <c r="D45" s="264"/>
      <c r="E45" s="264"/>
      <c r="F45" s="264"/>
      <c r="G45" s="264"/>
      <c r="H45" s="264"/>
      <c r="I45" s="264"/>
      <c r="J45" s="264"/>
      <c r="K45" s="264"/>
      <c r="L45" s="264"/>
      <c r="M45" s="264"/>
      <c r="N45" s="264"/>
      <c r="O45" s="264"/>
      <c r="P45" s="264"/>
      <c r="Q45" s="264"/>
      <c r="R45" s="264"/>
    </row>
    <row r="46" spans="1:18" ht="5.25" customHeight="1" x14ac:dyDescent="0.3">
      <c r="A46" s="126"/>
    </row>
    <row r="47" spans="1:18" ht="15.6" x14ac:dyDescent="0.3">
      <c r="A47" s="147" t="s">
        <v>420</v>
      </c>
    </row>
    <row r="48" spans="1:18" ht="5.25" customHeight="1" x14ac:dyDescent="0.3">
      <c r="A48" s="126"/>
    </row>
    <row r="49" spans="1:12" x14ac:dyDescent="0.3">
      <c r="A49" s="152" t="s">
        <v>380</v>
      </c>
      <c r="B49" s="5"/>
      <c r="C49" s="5"/>
      <c r="D49" s="5"/>
      <c r="E49" s="5"/>
      <c r="H49" s="152" t="s">
        <v>377</v>
      </c>
      <c r="I49" s="5"/>
    </row>
    <row r="50" spans="1:12" x14ac:dyDescent="0.3">
      <c r="A50" s="149" t="s">
        <v>343</v>
      </c>
      <c r="B50" s="149">
        <v>0</v>
      </c>
      <c r="C50" s="149">
        <v>1</v>
      </c>
      <c r="D50" s="149">
        <v>2</v>
      </c>
      <c r="E50" s="149" t="s">
        <v>382</v>
      </c>
      <c r="H50" s="149" t="s">
        <v>378</v>
      </c>
      <c r="I50" s="148">
        <f>Ressources!F16</f>
        <v>903.2</v>
      </c>
    </row>
    <row r="51" spans="1:12" x14ac:dyDescent="0.3">
      <c r="A51" s="149" t="s">
        <v>381</v>
      </c>
      <c r="B51" s="148">
        <f>Ressources!F8</f>
        <v>718.78</v>
      </c>
      <c r="C51" s="148">
        <f>Ressources!G8</f>
        <v>958.37</v>
      </c>
      <c r="D51" s="148">
        <f>Ressources!H8</f>
        <v>1197.97</v>
      </c>
      <c r="E51" s="148">
        <f>Ressources!I8</f>
        <v>239.59</v>
      </c>
      <c r="H51" s="149" t="s">
        <v>379</v>
      </c>
      <c r="I51" s="148">
        <f>Ressources!F17</f>
        <v>1402.22</v>
      </c>
    </row>
    <row r="52" spans="1:12" ht="5.25" customHeight="1" x14ac:dyDescent="0.3">
      <c r="A52" s="5"/>
      <c r="B52" s="5"/>
      <c r="C52" s="5"/>
      <c r="D52" s="5"/>
      <c r="E52" s="5"/>
      <c r="F52" s="5"/>
    </row>
    <row r="53" spans="1:12" x14ac:dyDescent="0.3">
      <c r="A53" s="152" t="s">
        <v>336</v>
      </c>
      <c r="B53" s="5"/>
      <c r="C53" s="5"/>
      <c r="D53" s="135"/>
      <c r="E53" s="5"/>
      <c r="F53" s="5"/>
      <c r="H53" s="152" t="s">
        <v>421</v>
      </c>
      <c r="I53" s="5"/>
      <c r="J53" s="5"/>
      <c r="K53" s="5"/>
      <c r="L53" s="5"/>
    </row>
    <row r="54" spans="1:12" x14ac:dyDescent="0.3">
      <c r="A54" s="149" t="s">
        <v>343</v>
      </c>
      <c r="B54" s="149">
        <v>0</v>
      </c>
      <c r="C54" s="149">
        <v>1</v>
      </c>
      <c r="D54" s="149">
        <v>2</v>
      </c>
      <c r="E54" s="149">
        <v>3</v>
      </c>
      <c r="F54" s="149" t="s">
        <v>344</v>
      </c>
      <c r="H54" s="149" t="s">
        <v>343</v>
      </c>
      <c r="I54" s="149">
        <v>2</v>
      </c>
      <c r="J54" s="149">
        <v>3</v>
      </c>
      <c r="K54" s="149">
        <v>4</v>
      </c>
      <c r="L54" s="149" t="s">
        <v>349</v>
      </c>
    </row>
    <row r="55" spans="1:12" x14ac:dyDescent="0.3">
      <c r="A55" s="149" t="s">
        <v>341</v>
      </c>
      <c r="B55" s="148">
        <f>Ressources!F3</f>
        <v>559.74</v>
      </c>
      <c r="C55" s="148">
        <f>Ressources!G3</f>
        <v>839.62</v>
      </c>
      <c r="D55" s="148">
        <f>Ressources!H3</f>
        <v>1007.55</v>
      </c>
      <c r="E55" s="148">
        <f>Ressources!I3</f>
        <v>1231.44</v>
      </c>
      <c r="F55" s="148">
        <f>Ressources!J3</f>
        <v>223.89</v>
      </c>
      <c r="H55" s="149" t="s">
        <v>347</v>
      </c>
      <c r="I55" s="148">
        <f>Ressources!F12</f>
        <v>131.55000000000001</v>
      </c>
      <c r="J55" s="148">
        <f>Ressources!G12</f>
        <v>300.10000000000002</v>
      </c>
      <c r="K55" s="148">
        <f>Ressources!H12</f>
        <v>468.66</v>
      </c>
      <c r="L55" s="148">
        <f>Ressources!I12</f>
        <v>168.56</v>
      </c>
    </row>
    <row r="56" spans="1:12" ht="28.8" x14ac:dyDescent="0.3">
      <c r="A56" s="149" t="s">
        <v>342</v>
      </c>
      <c r="B56" s="148">
        <f>Ressources!F4</f>
        <v>839.62</v>
      </c>
      <c r="C56" s="148">
        <f>Ressources!G4</f>
        <v>1007.55</v>
      </c>
      <c r="D56" s="148">
        <f>Ressources!H4</f>
        <v>1175.47</v>
      </c>
      <c r="E56" s="148">
        <f>Ressources!I4</f>
        <v>1399.36</v>
      </c>
      <c r="F56" s="148">
        <f>Ressources!J4</f>
        <v>223.89</v>
      </c>
      <c r="H56" s="150" t="s">
        <v>348</v>
      </c>
      <c r="I56" s="148">
        <f>Ressources!F13</f>
        <v>65.78</v>
      </c>
      <c r="J56" s="148">
        <f>Ressources!G13</f>
        <v>65.78</v>
      </c>
      <c r="K56" s="148">
        <f>Ressources!H13</f>
        <v>65.78</v>
      </c>
      <c r="L56" s="148">
        <f>Ressources!I13</f>
        <v>65.78</v>
      </c>
    </row>
    <row r="57" spans="1:12" ht="5.25" customHeight="1" x14ac:dyDescent="0.3">
      <c r="F57" s="5"/>
    </row>
    <row r="58" spans="1:12" x14ac:dyDescent="0.3">
      <c r="A58" s="152" t="s">
        <v>422</v>
      </c>
      <c r="H58" s="152" t="s">
        <v>345</v>
      </c>
      <c r="J58" s="196"/>
    </row>
    <row r="59" spans="1:12" x14ac:dyDescent="0.3">
      <c r="A59" s="118"/>
      <c r="B59" s="265" t="str">
        <f>'Cheque Energie'!B6:E6</f>
        <v>RFR 2018 par UC &lt; à :</v>
      </c>
      <c r="C59" s="265"/>
      <c r="D59" s="265"/>
      <c r="E59" s="265"/>
      <c r="H59" s="149" t="s">
        <v>378</v>
      </c>
      <c r="I59" s="148">
        <v>902.7</v>
      </c>
    </row>
    <row r="60" spans="1:12" x14ac:dyDescent="0.3">
      <c r="A60" s="151" t="s">
        <v>357</v>
      </c>
      <c r="B60" s="121">
        <f>'Cheque Energie'!B7</f>
        <v>5600</v>
      </c>
      <c r="C60" s="121">
        <f>'Cheque Energie'!C7</f>
        <v>6700</v>
      </c>
      <c r="D60" s="121">
        <f>'Cheque Energie'!D7</f>
        <v>7700</v>
      </c>
      <c r="E60" s="121">
        <f>'Cheque Energie'!E7</f>
        <v>10700</v>
      </c>
    </row>
    <row r="61" spans="1:12" x14ac:dyDescent="0.3">
      <c r="A61" s="151" t="s">
        <v>218</v>
      </c>
      <c r="B61" s="121">
        <f>'Cheque Energie'!B8</f>
        <v>194</v>
      </c>
      <c r="C61" s="121">
        <f>'Cheque Energie'!C8</f>
        <v>146</v>
      </c>
      <c r="D61" s="121">
        <f>'Cheque Energie'!D8</f>
        <v>98</v>
      </c>
      <c r="E61" s="121">
        <f>'Cheque Energie'!E8</f>
        <v>48</v>
      </c>
    </row>
    <row r="62" spans="1:12" x14ac:dyDescent="0.3">
      <c r="A62" s="151" t="s">
        <v>353</v>
      </c>
      <c r="B62" s="121">
        <f>'Cheque Energie'!B9</f>
        <v>240</v>
      </c>
      <c r="C62" s="121">
        <f>'Cheque Energie'!C9</f>
        <v>176</v>
      </c>
      <c r="D62" s="121">
        <f>'Cheque Energie'!D9</f>
        <v>113</v>
      </c>
      <c r="E62" s="121">
        <f>'Cheque Energie'!E9</f>
        <v>63</v>
      </c>
    </row>
    <row r="63" spans="1:12" x14ac:dyDescent="0.3">
      <c r="A63" s="151" t="s">
        <v>354</v>
      </c>
      <c r="B63" s="121">
        <f>'Cheque Energie'!B10</f>
        <v>277</v>
      </c>
      <c r="C63" s="121">
        <f>'Cheque Energie'!C10</f>
        <v>202</v>
      </c>
      <c r="D63" s="121">
        <f>'Cheque Energie'!D10</f>
        <v>126</v>
      </c>
      <c r="E63" s="121">
        <f>'Cheque Energie'!E10</f>
        <v>76</v>
      </c>
    </row>
    <row r="64" spans="1:12" x14ac:dyDescent="0.3">
      <c r="A64" s="118" t="s">
        <v>427</v>
      </c>
      <c r="B64" s="118"/>
      <c r="C64" s="118"/>
      <c r="D64" s="118"/>
      <c r="E64" s="118"/>
    </row>
  </sheetData>
  <sheetProtection algorithmName="SHA-512" hashValue="+AwV2ogVxfaRGxwVsqLL7iabNnweNju/TviZiaf46r4QwhYChMaEIMGvxaSD6ZJ+aUAbZ2l4uMXHhZcvQkkFkQ==" saltValue="4V3c4r50kcffj61+eytMVw==" spinCount="100000" sheet="1" objects="1" scenarios="1"/>
  <mergeCells count="19">
    <mergeCell ref="A7:R14"/>
    <mergeCell ref="D2:M3"/>
    <mergeCell ref="A20:R20"/>
    <mergeCell ref="A23:R23"/>
    <mergeCell ref="A24:R24"/>
    <mergeCell ref="A25:R25"/>
    <mergeCell ref="A26:R26"/>
    <mergeCell ref="A27:R27"/>
    <mergeCell ref="A28:R28"/>
    <mergeCell ref="A36:R36"/>
    <mergeCell ref="A35:R35"/>
    <mergeCell ref="A32:R32"/>
    <mergeCell ref="A33:R33"/>
    <mergeCell ref="A34:R34"/>
    <mergeCell ref="A38:R38"/>
    <mergeCell ref="A41:R41"/>
    <mergeCell ref="A43:R43"/>
    <mergeCell ref="A45:R45"/>
    <mergeCell ref="B59:E59"/>
  </mergeCells>
  <hyperlinks>
    <hyperlink ref="A49" r:id="rId1"/>
    <hyperlink ref="A53" r:id="rId2"/>
    <hyperlink ref="H49" r:id="rId3"/>
    <hyperlink ref="H53" r:id="rId4"/>
    <hyperlink ref="A58" r:id="rId5"/>
    <hyperlink ref="H58" r:id="rId6"/>
  </hyperlinks>
  <pageMargins left="0.7" right="0.7" top="0.75" bottom="0.75" header="0.3" footer="0.3"/>
  <pageSetup paperSize="9" scale="41"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3:D31"/>
  <sheetViews>
    <sheetView showGridLines="0" workbookViewId="0">
      <selection activeCell="A8" sqref="A8"/>
    </sheetView>
  </sheetViews>
  <sheetFormatPr baseColWidth="10" defaultColWidth="11.44140625" defaultRowHeight="14.4" x14ac:dyDescent="0.3"/>
  <cols>
    <col min="1" max="1" width="37.88671875" style="118" bestFit="1" customWidth="1"/>
    <col min="2" max="3" width="20.33203125" style="118" customWidth="1"/>
    <col min="4" max="16384" width="11.44140625" style="118"/>
  </cols>
  <sheetData>
    <row r="3" spans="1:4" ht="15.75" customHeight="1" x14ac:dyDescent="0.3">
      <c r="A3" s="420" t="s">
        <v>428</v>
      </c>
      <c r="B3" s="420"/>
      <c r="C3" s="420"/>
      <c r="D3" s="119" t="s">
        <v>429</v>
      </c>
    </row>
    <row r="4" spans="1:4" x14ac:dyDescent="0.3">
      <c r="A4" s="236"/>
      <c r="B4" s="421" t="s">
        <v>37</v>
      </c>
      <c r="C4" s="421"/>
    </row>
    <row r="5" spans="1:4" s="123" customFormat="1" ht="28.8" x14ac:dyDescent="0.3">
      <c r="A5" s="237" t="s">
        <v>38</v>
      </c>
      <c r="B5" s="237" t="s">
        <v>39</v>
      </c>
      <c r="C5" s="237" t="s">
        <v>403</v>
      </c>
    </row>
    <row r="6" spans="1:4" x14ac:dyDescent="0.3">
      <c r="A6" s="236">
        <v>3</v>
      </c>
      <c r="B6" s="241">
        <v>97.68</v>
      </c>
      <c r="C6" s="241">
        <v>0.1525</v>
      </c>
    </row>
    <row r="7" spans="1:4" x14ac:dyDescent="0.3">
      <c r="A7" s="236">
        <v>6</v>
      </c>
      <c r="B7" s="241">
        <v>119.76</v>
      </c>
      <c r="C7" s="241">
        <v>0.1525</v>
      </c>
    </row>
    <row r="8" spans="1:4" x14ac:dyDescent="0.3">
      <c r="A8" s="236">
        <v>9</v>
      </c>
      <c r="B8" s="241">
        <v>142.08000000000001</v>
      </c>
      <c r="C8" s="241">
        <v>0.15570000000000001</v>
      </c>
    </row>
    <row r="9" spans="1:4" x14ac:dyDescent="0.3">
      <c r="A9" s="236">
        <v>12</v>
      </c>
      <c r="B9" s="241">
        <v>164.76</v>
      </c>
      <c r="C9" s="241">
        <v>0.15570000000000001</v>
      </c>
    </row>
    <row r="10" spans="1:4" x14ac:dyDescent="0.3">
      <c r="A10" s="236">
        <v>15</v>
      </c>
      <c r="B10" s="241">
        <v>185.88</v>
      </c>
      <c r="C10" s="241">
        <v>0.15570000000000001</v>
      </c>
    </row>
    <row r="11" spans="1:4" x14ac:dyDescent="0.3">
      <c r="A11" s="124"/>
      <c r="B11" s="124"/>
      <c r="C11" s="124"/>
    </row>
    <row r="13" spans="1:4" x14ac:dyDescent="0.3">
      <c r="A13" s="420" t="s">
        <v>430</v>
      </c>
      <c r="B13" s="420"/>
      <c r="C13" s="420"/>
      <c r="D13" s="119" t="s">
        <v>431</v>
      </c>
    </row>
    <row r="14" spans="1:4" x14ac:dyDescent="0.3">
      <c r="A14" s="236"/>
      <c r="B14" s="422"/>
      <c r="C14" s="423"/>
    </row>
    <row r="15" spans="1:4" s="123" customFormat="1" ht="28.8" x14ac:dyDescent="0.3">
      <c r="A15" s="238" t="s">
        <v>42</v>
      </c>
      <c r="B15" s="237" t="s">
        <v>39</v>
      </c>
      <c r="C15" s="237" t="s">
        <v>403</v>
      </c>
    </row>
    <row r="16" spans="1:4" x14ac:dyDescent="0.3">
      <c r="A16" s="239" t="s">
        <v>43</v>
      </c>
      <c r="B16" s="241">
        <v>108</v>
      </c>
      <c r="C16" s="241">
        <v>7.8899999999999998E-2</v>
      </c>
    </row>
    <row r="17" spans="1:3" x14ac:dyDescent="0.3">
      <c r="A17" s="240" t="s">
        <v>44</v>
      </c>
      <c r="B17" s="241">
        <v>108</v>
      </c>
      <c r="C17" s="241">
        <v>7.8899999999999998E-2</v>
      </c>
    </row>
    <row r="18" spans="1:3" x14ac:dyDescent="0.3">
      <c r="A18" s="239" t="s">
        <v>45</v>
      </c>
      <c r="B18" s="241">
        <v>249.12</v>
      </c>
      <c r="C18" s="241">
        <v>5.5300000000000002E-2</v>
      </c>
    </row>
    <row r="21" spans="1:3" x14ac:dyDescent="0.3">
      <c r="A21" s="125" t="s">
        <v>432</v>
      </c>
      <c r="C21" s="119" t="s">
        <v>433</v>
      </c>
    </row>
    <row r="22" spans="1:3" x14ac:dyDescent="0.3">
      <c r="A22" s="236" t="s">
        <v>174</v>
      </c>
      <c r="B22" s="236" t="s">
        <v>277</v>
      </c>
    </row>
    <row r="23" spans="1:3" x14ac:dyDescent="0.3">
      <c r="A23" s="236" t="s">
        <v>172</v>
      </c>
      <c r="B23" s="241">
        <v>4.4999999999999998E-2</v>
      </c>
    </row>
    <row r="24" spans="1:3" x14ac:dyDescent="0.3">
      <c r="A24" s="236" t="s">
        <v>173</v>
      </c>
      <c r="B24" s="241">
        <v>7.3999999999999996E-2</v>
      </c>
    </row>
    <row r="25" spans="1:3" x14ac:dyDescent="0.3">
      <c r="A25" s="236" t="s">
        <v>67</v>
      </c>
      <c r="B25" s="241">
        <v>0.10199999999999999</v>
      </c>
    </row>
    <row r="26" spans="1:3" x14ac:dyDescent="0.3">
      <c r="A26" s="236" t="s">
        <v>214</v>
      </c>
      <c r="B26" s="241">
        <v>0.20499999999999999</v>
      </c>
    </row>
    <row r="31" spans="1:3" ht="30" customHeight="1" x14ac:dyDescent="0.3"/>
  </sheetData>
  <sheetProtection pivotTables="0"/>
  <mergeCells count="4">
    <mergeCell ref="A3:C3"/>
    <mergeCell ref="B4:C4"/>
    <mergeCell ref="A13:C13"/>
    <mergeCell ref="B14:C14"/>
  </mergeCells>
  <hyperlinks>
    <hyperlink ref="D3" r:id="rId1"/>
    <hyperlink ref="D13" r:id="rId2"/>
    <hyperlink ref="C21" r:id="rId3"/>
  </hyperlinks>
  <pageMargins left="0.7" right="0.7" top="0.75" bottom="0.75" header="0.3" footer="0.3"/>
  <pageSetup paperSize="9"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J14" sqref="J14"/>
    </sheetView>
  </sheetViews>
  <sheetFormatPr baseColWidth="10" defaultRowHeight="14.4" x14ac:dyDescent="0.3"/>
  <sheetData>
    <row r="1" spans="1:1" x14ac:dyDescent="0.3">
      <c r="A1" s="197" t="s">
        <v>438</v>
      </c>
    </row>
    <row r="2" spans="1:1" x14ac:dyDescent="0.3">
      <c r="A2" s="198" t="s">
        <v>441</v>
      </c>
    </row>
    <row r="4" spans="1:1" x14ac:dyDescent="0.3">
      <c r="A4" s="197" t="s">
        <v>439</v>
      </c>
    </row>
    <row r="5" spans="1:1" x14ac:dyDescent="0.3">
      <c r="A5" s="196" t="s">
        <v>440</v>
      </c>
    </row>
    <row r="7" spans="1:1" x14ac:dyDescent="0.3">
      <c r="A7" s="197" t="s">
        <v>443</v>
      </c>
    </row>
    <row r="8" spans="1:1" x14ac:dyDescent="0.3">
      <c r="A8" s="196" t="s">
        <v>442</v>
      </c>
    </row>
    <row r="9" spans="1:1" x14ac:dyDescent="0.3">
      <c r="A9" t="s">
        <v>444</v>
      </c>
    </row>
  </sheetData>
  <hyperlinks>
    <hyperlink ref="A5" r:id="rId1"/>
    <hyperlink ref="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pageSetUpPr fitToPage="1"/>
  </sheetPr>
  <dimension ref="A1:U50"/>
  <sheetViews>
    <sheetView showGridLines="0" topLeftCell="E1" zoomScale="80" zoomScaleNormal="80" workbookViewId="0">
      <selection activeCell="P13" sqref="P13"/>
    </sheetView>
  </sheetViews>
  <sheetFormatPr baseColWidth="10" defaultColWidth="11.44140625" defaultRowHeight="14.4" x14ac:dyDescent="0.3"/>
  <cols>
    <col min="1" max="1" width="14.109375" style="153" customWidth="1"/>
    <col min="2" max="2" width="17.5546875" style="153" customWidth="1"/>
    <col min="3" max="3" width="11.88671875" style="153" customWidth="1"/>
    <col min="4" max="4" width="28.109375" style="153" customWidth="1"/>
    <col min="5" max="5" width="18.6640625" style="153" customWidth="1"/>
    <col min="6" max="6" width="22" style="153" customWidth="1"/>
    <col min="7" max="7" width="16.109375" style="153" customWidth="1"/>
    <col min="8" max="9" width="10.5546875" style="153" customWidth="1"/>
    <col min="10" max="10" width="10.33203125" style="153" customWidth="1"/>
    <col min="11" max="13" width="12" style="153" customWidth="1"/>
    <col min="14" max="14" width="12.5546875" style="153" customWidth="1"/>
    <col min="15" max="15" width="12" style="153" customWidth="1"/>
    <col min="16" max="17" width="18.5546875" style="153" customWidth="1"/>
    <col min="18" max="21" width="12" style="153" customWidth="1"/>
    <col min="22" max="16384" width="11.44140625" style="153"/>
  </cols>
  <sheetData>
    <row r="1" spans="1:21" ht="32.1" customHeight="1" x14ac:dyDescent="0.3">
      <c r="A1" s="307" t="s">
        <v>453</v>
      </c>
      <c r="B1" s="307"/>
      <c r="C1" s="307"/>
      <c r="D1" s="307"/>
      <c r="E1" s="307"/>
      <c r="F1" s="307"/>
      <c r="G1" s="307"/>
      <c r="H1" s="307"/>
      <c r="I1" s="307"/>
      <c r="J1" s="307"/>
      <c r="K1" s="307"/>
      <c r="L1" s="307"/>
      <c r="M1" s="307"/>
      <c r="N1" s="307"/>
      <c r="O1" s="307"/>
      <c r="P1" s="307"/>
      <c r="Q1" s="307"/>
      <c r="R1" s="307"/>
      <c r="S1" s="307"/>
      <c r="T1" s="307"/>
      <c r="U1" s="307"/>
    </row>
    <row r="2" spans="1:21" ht="48.75" customHeight="1" x14ac:dyDescent="0.3">
      <c r="A2" s="310" t="s">
        <v>303</v>
      </c>
      <c r="B2" s="311"/>
      <c r="C2" s="312"/>
      <c r="D2" s="313"/>
      <c r="E2" s="313"/>
      <c r="F2" s="313"/>
      <c r="G2" s="313"/>
      <c r="H2" s="313"/>
      <c r="I2" s="314"/>
      <c r="J2" s="154"/>
      <c r="K2" s="155"/>
      <c r="L2" s="155"/>
      <c r="M2" s="155"/>
      <c r="N2" s="155"/>
      <c r="O2" s="155"/>
      <c r="P2" s="155"/>
      <c r="Q2" s="155"/>
      <c r="R2" s="155"/>
      <c r="S2" s="155"/>
      <c r="T2" s="155"/>
      <c r="U2" s="156"/>
    </row>
    <row r="3" spans="1:21" ht="30" customHeight="1" x14ac:dyDescent="0.3">
      <c r="A3" s="315" t="s">
        <v>25</v>
      </c>
      <c r="B3" s="315"/>
      <c r="C3" s="305" t="s">
        <v>94</v>
      </c>
      <c r="D3" s="306"/>
      <c r="E3" s="157"/>
      <c r="F3" s="157"/>
      <c r="G3" s="157"/>
      <c r="H3" s="157"/>
      <c r="I3" s="157"/>
      <c r="J3" s="158"/>
      <c r="K3" s="158"/>
      <c r="L3" s="158"/>
      <c r="M3" s="158"/>
      <c r="N3" s="158"/>
      <c r="O3" s="158"/>
      <c r="P3" s="158"/>
      <c r="Q3" s="158"/>
      <c r="R3" s="158"/>
      <c r="S3" s="158"/>
      <c r="T3" s="158"/>
      <c r="U3" s="159"/>
    </row>
    <row r="4" spans="1:21" ht="30" customHeight="1" x14ac:dyDescent="0.3">
      <c r="A4" s="276" t="s">
        <v>230</v>
      </c>
      <c r="B4" s="277"/>
      <c r="C4" s="144"/>
      <c r="D4" s="160"/>
      <c r="E4" s="155"/>
      <c r="F4" s="155"/>
      <c r="G4" s="155"/>
      <c r="H4" s="155"/>
      <c r="I4" s="155"/>
      <c r="J4" s="155"/>
      <c r="K4" s="155"/>
      <c r="L4" s="155"/>
      <c r="M4" s="155"/>
      <c r="N4" s="155"/>
      <c r="O4" s="155"/>
      <c r="P4" s="155"/>
      <c r="Q4" s="155"/>
      <c r="R4" s="155"/>
      <c r="S4" s="155"/>
      <c r="T4" s="155"/>
      <c r="U4" s="156"/>
    </row>
    <row r="5" spans="1:21" ht="30" customHeight="1" x14ac:dyDescent="0.3">
      <c r="A5" s="276" t="s">
        <v>187</v>
      </c>
      <c r="B5" s="277"/>
      <c r="C5" s="144"/>
      <c r="D5" s="161"/>
      <c r="E5" s="155"/>
      <c r="F5" s="155"/>
      <c r="G5" s="155"/>
      <c r="H5" s="155"/>
      <c r="I5" s="155"/>
      <c r="J5" s="155"/>
      <c r="K5" s="155"/>
      <c r="L5" s="155"/>
      <c r="M5" s="155"/>
      <c r="N5" s="155"/>
      <c r="O5" s="155"/>
      <c r="P5" s="155"/>
      <c r="Q5" s="157"/>
      <c r="R5" s="155"/>
      <c r="S5" s="155"/>
      <c r="T5" s="155"/>
      <c r="U5" s="156"/>
    </row>
    <row r="6" spans="1:21" ht="15" customHeight="1" x14ac:dyDescent="0.3">
      <c r="A6" s="269" t="s">
        <v>29</v>
      </c>
      <c r="B6" s="270"/>
      <c r="C6" s="275"/>
      <c r="D6" s="275"/>
      <c r="E6" s="275"/>
      <c r="F6" s="269" t="s">
        <v>227</v>
      </c>
      <c r="G6" s="286"/>
      <c r="H6" s="155"/>
      <c r="I6" s="155"/>
      <c r="J6" s="155"/>
      <c r="K6" s="155"/>
      <c r="L6" s="155"/>
      <c r="M6" s="290" t="s">
        <v>391</v>
      </c>
      <c r="N6" s="291"/>
      <c r="O6" s="155"/>
      <c r="P6" s="317" t="s">
        <v>365</v>
      </c>
      <c r="R6" s="279" t="s">
        <v>424</v>
      </c>
      <c r="S6" s="280"/>
      <c r="T6" s="155"/>
      <c r="U6" s="156"/>
    </row>
    <row r="7" spans="1:21" x14ac:dyDescent="0.3">
      <c r="A7" s="285"/>
      <c r="B7" s="316"/>
      <c r="C7" s="275"/>
      <c r="D7" s="275"/>
      <c r="E7" s="275"/>
      <c r="F7" s="271"/>
      <c r="G7" s="287"/>
      <c r="H7" s="162"/>
      <c r="I7" s="162"/>
      <c r="J7" s="162"/>
      <c r="K7" s="162"/>
      <c r="L7" s="162"/>
      <c r="M7" s="292"/>
      <c r="N7" s="293"/>
      <c r="O7" s="162"/>
      <c r="P7" s="318"/>
      <c r="Q7" s="162"/>
      <c r="R7" s="281"/>
      <c r="S7" s="282"/>
      <c r="T7" s="162"/>
      <c r="U7" s="163"/>
    </row>
    <row r="8" spans="1:21" x14ac:dyDescent="0.3">
      <c r="A8" s="285"/>
      <c r="B8" s="316"/>
      <c r="C8" s="275"/>
      <c r="D8" s="275"/>
      <c r="E8" s="275"/>
      <c r="F8" s="269" t="s">
        <v>27</v>
      </c>
      <c r="G8" s="308"/>
      <c r="H8" s="162"/>
      <c r="I8" s="162"/>
      <c r="J8" s="162"/>
      <c r="K8" s="162"/>
      <c r="L8" s="162"/>
      <c r="M8" s="292"/>
      <c r="N8" s="293"/>
      <c r="O8" s="162"/>
      <c r="P8" s="318"/>
      <c r="Q8" s="162"/>
      <c r="R8" s="281"/>
      <c r="S8" s="282"/>
      <c r="T8" s="162"/>
      <c r="U8" s="163"/>
    </row>
    <row r="9" spans="1:21" x14ac:dyDescent="0.3">
      <c r="A9" s="271"/>
      <c r="B9" s="272"/>
      <c r="C9" s="275"/>
      <c r="D9" s="275"/>
      <c r="E9" s="275"/>
      <c r="F9" s="285"/>
      <c r="G9" s="309"/>
      <c r="H9" s="158"/>
      <c r="I9" s="158"/>
      <c r="J9" s="158"/>
      <c r="K9" s="158"/>
      <c r="L9" s="158"/>
      <c r="M9" s="294"/>
      <c r="N9" s="295"/>
      <c r="O9" s="158"/>
      <c r="P9" s="319"/>
      <c r="Q9" s="158"/>
      <c r="R9" s="283"/>
      <c r="S9" s="284"/>
      <c r="T9" s="158"/>
      <c r="U9" s="159"/>
    </row>
    <row r="10" spans="1:21" s="166" customFormat="1" ht="30" customHeight="1" x14ac:dyDescent="0.3">
      <c r="A10" s="276" t="s">
        <v>226</v>
      </c>
      <c r="B10" s="277"/>
      <c r="C10" s="305"/>
      <c r="D10" s="306"/>
      <c r="E10" s="164"/>
      <c r="F10" s="165" t="s">
        <v>330</v>
      </c>
      <c r="G10" s="128"/>
      <c r="H10" s="158"/>
      <c r="I10" s="158"/>
      <c r="J10" s="162"/>
      <c r="K10" s="162"/>
      <c r="L10" s="162"/>
      <c r="M10" s="162"/>
      <c r="N10" s="162"/>
      <c r="O10" s="162"/>
      <c r="P10" s="162"/>
      <c r="Q10" s="158"/>
      <c r="R10" s="162"/>
      <c r="S10" s="162"/>
      <c r="T10" s="162"/>
      <c r="U10" s="163"/>
    </row>
    <row r="11" spans="1:21" ht="29.25" customHeight="1" x14ac:dyDescent="0.3">
      <c r="A11" s="269" t="s">
        <v>307</v>
      </c>
      <c r="B11" s="270"/>
      <c r="C11" s="273" t="s">
        <v>299</v>
      </c>
      <c r="D11" s="273" t="s">
        <v>300</v>
      </c>
      <c r="E11" s="273" t="s">
        <v>301</v>
      </c>
      <c r="F11" s="288" t="s">
        <v>297</v>
      </c>
      <c r="G11" s="273" t="s">
        <v>302</v>
      </c>
      <c r="H11" s="276" t="s">
        <v>296</v>
      </c>
      <c r="I11" s="277"/>
      <c r="J11" s="269" t="s">
        <v>298</v>
      </c>
      <c r="K11" s="276" t="s">
        <v>317</v>
      </c>
      <c r="L11" s="278"/>
      <c r="M11" s="278"/>
      <c r="N11" s="278"/>
      <c r="O11" s="277"/>
      <c r="P11" s="276" t="s">
        <v>339</v>
      </c>
      <c r="Q11" s="278"/>
      <c r="R11" s="278"/>
      <c r="S11" s="273" t="s">
        <v>366</v>
      </c>
      <c r="T11" s="273" t="s">
        <v>372</v>
      </c>
      <c r="U11" s="273" t="s">
        <v>370</v>
      </c>
    </row>
    <row r="12" spans="1:21" ht="57" customHeight="1" x14ac:dyDescent="0.3">
      <c r="A12" s="271"/>
      <c r="B12" s="272"/>
      <c r="C12" s="274"/>
      <c r="D12" s="274"/>
      <c r="E12" s="274"/>
      <c r="F12" s="274"/>
      <c r="G12" s="274"/>
      <c r="H12" s="167" t="s">
        <v>177</v>
      </c>
      <c r="I12" s="167" t="s">
        <v>178</v>
      </c>
      <c r="J12" s="274"/>
      <c r="K12" s="168" t="s">
        <v>318</v>
      </c>
      <c r="L12" s="168" t="s">
        <v>313</v>
      </c>
      <c r="M12" s="168" t="s">
        <v>314</v>
      </c>
      <c r="N12" s="168" t="s">
        <v>315</v>
      </c>
      <c r="O12" s="168" t="s">
        <v>316</v>
      </c>
      <c r="P12" s="169" t="s">
        <v>369</v>
      </c>
      <c r="Q12" s="170" t="s">
        <v>368</v>
      </c>
      <c r="R12" s="170" t="s">
        <v>340</v>
      </c>
      <c r="S12" s="274"/>
      <c r="T12" s="274"/>
      <c r="U12" s="274"/>
    </row>
    <row r="13" spans="1:21" ht="30" customHeight="1" x14ac:dyDescent="0.3">
      <c r="A13" s="167" t="s">
        <v>1</v>
      </c>
      <c r="B13" s="128"/>
      <c r="C13" s="234"/>
      <c r="D13" s="129"/>
      <c r="E13" s="128"/>
      <c r="F13" s="128"/>
      <c r="G13" s="128"/>
      <c r="H13" s="234"/>
      <c r="I13" s="234"/>
      <c r="J13" s="233"/>
      <c r="K13" s="233"/>
      <c r="L13" s="233"/>
      <c r="M13" s="233"/>
      <c r="N13" s="233"/>
      <c r="O13" s="233"/>
      <c r="P13" s="130"/>
      <c r="Q13" s="130"/>
      <c r="R13" s="231">
        <f>IF(OR(P13="RSA parent isolé",Q13="RSA parent isolé"),IF(H13+I13=1,Ressources!$F$8,IF(H13+I13=2,Ressources!$G$8,IF(H13+I13=3,Ressources!$H$8,IF(H13+I13&gt;3,Ressources!$H$8+(H13+I13-3)*Ressources!$I$8,0)))),IF(AND(P13="ASPA",Q13="ASPA"),Ressources!$F$17,IF(AND('Saisie maison'!Q13="RSA socle",'Saisie maison'!P13="RSA socle"),IF(('Saisie maison'!H13+'Saisie maison'!I13)&gt;5,Ressources!$I$4+Ressources!$J$4*(('Saisie maison'!H13+'Saisie maison'!I13)-5),IF(('Saisie maison'!H13+'Saisie maison'!I13)=2,Ressources!$F$4,IF(('Saisie maison'!H13+'Saisie maison'!I13)=3,Ressources!$G$4,IF(('Saisie maison'!H13+'Saisie maison'!I13)=4,Ressources!$H$4,IF(('Saisie maison'!H13+'Saisie maison'!I13)=5,Ressources!$I$4,0))))), IF(OR(AND('Saisie maison'!Q13="RSA socle",'Saisie maison'!P13&lt;&gt;"RSA socle"),AND('Saisie maison'!P13="RSA socle",'Saisie maison'!Q13&lt;&gt;"RSA socle")),IF(('Saisie maison'!H13+'Saisie maison'!I13)&gt;4,Ressources!$I$3+Ressources!$J$3*(('Saisie maison'!H13+'Saisie maison'!I13)-4),IF(('Saisie maison'!H13+'Saisie maison'!I13)=1,Ressources!$F$3,IF(('Saisie maison'!H13+'Saisie maison'!I13)=2,Ressources!$G$3,IF(('Saisie maison'!H13+'Saisie maison'!I13)=3,Ressources!$H$3,IF(('Saisie maison'!H13+'Saisie maison'!I13)=4,Ressources!$I$3,0))))))+IF(P13=Ressources!$A$3,Ressources!$B$3,IF(P13=Ressources!$A$5,Ressources!$B$5,IF(P13=Ressources!$A$6,Ressources!$B$6,IF(P13=Ressources!$A$7,Ressources!$B$7,IF(P13=Ressources!$A$8,Ressources!$B$8,IF(P13=Ressources!$A$9,Ressources!$B$9,IF(P13=Ressources!$A$10,Ressources!$B$10,IF(P13=Ressources!$A$11,Ressources!$B$11,0))))))))+IF(Q13=Ressources!$A$3,Ressources!$B$3,IF(Q13=Ressources!$A$5,Ressources!$B$5,IF(Q13=Ressources!$A$6,Ressources!$B$6,IF(Q13=Ressources!$A$7,Ressources!$B$7,IF(Q13=Ressources!$A$8,Ressources!$B$8,IF(Q13=Ressources!$A$9,Ressources!$B$9,IF(Q13=Ressources!$A$10,Ressources!$B$10,IF(Q13=Ressources!$A$11,Ressources!$B$11,0)))))))))))</f>
        <v>0</v>
      </c>
      <c r="S13" s="231">
        <f>IF(AND(P13&lt;&gt;0,Q13&lt;&gt;0),IF((H13+I13)&gt;6,Ressources!$H$12+(H13+I13-6)*Ressources!$I$12+('Saisie maison'!H13-2)*Ressources!$I$13,IF((H13+I13)=6,Ressources!$H$12+('Saisie maison'!H13-2)*Ressources!$H$13,IF((H13+I13)=5,Ressources!$G$12+('Saisie maison'!H13-2)*Ressources!$G$13,IF((H13+I13)=4,Ressources!$F$12+('Saisie maison'!H13-2)*Ressources!$F$13,0)))),IF(OR(P13=0,Q13=0),IF((H13+I13)&gt;5,Ressources!$H$12+(H13+I13-5)*Ressources!$I$12+('Saisie maison'!H13-1)*Ressources!$I$13,IF((H13+I13)=5,Ressources!$H$12+('Saisie maison'!H13-1)*Ressources!$H$13,IF((H13+I13)=4,Ressources!$G$12+('Saisie maison'!H13-1)*Ressources!$G$13,IF((H13+I13)=3,Ressources!$F$12+('Saisie maison'!H13-1)*Ressources!$F$13,0))))))</f>
        <v>0</v>
      </c>
      <c r="T13" s="231">
        <f>IF(ISERROR('Cheque Energie'!G16),0,'Cheque Energie'!G16)</f>
        <v>0</v>
      </c>
      <c r="U13" s="233"/>
    </row>
    <row r="14" spans="1:21" ht="32.25" customHeight="1" x14ac:dyDescent="0.3">
      <c r="A14" s="243" t="s">
        <v>2</v>
      </c>
      <c r="B14" s="128"/>
      <c r="C14" s="234"/>
      <c r="D14" s="129"/>
      <c r="E14" s="128"/>
      <c r="F14" s="128"/>
      <c r="G14" s="128"/>
      <c r="H14" s="234"/>
      <c r="I14" s="234"/>
      <c r="J14" s="233"/>
      <c r="K14" s="233"/>
      <c r="L14" s="233"/>
      <c r="M14" s="233"/>
      <c r="N14" s="233"/>
      <c r="O14" s="233"/>
      <c r="P14" s="130"/>
      <c r="Q14" s="130"/>
      <c r="R14" s="231">
        <f>IF(OR(P14="RSA parent isolé",Q14="RSA parent isolé"),IF(H14+I14=1,Ressources!$F$8,IF(H14+I14=2,Ressources!$G$8,IF(H14+I14=3,Ressources!$H$8,IF(H14+I14&gt;3,Ressources!$H$8+(H14+I14-3)*Ressources!$I$8,0)))),IF(AND(P14="ASPA",Q14="ASPA"),Ressources!$F$17,IF(AND('Saisie maison'!Q14="RSA socle",'Saisie maison'!P14="RSA socle"),IF(('Saisie maison'!H14+'Saisie maison'!I14)&gt;5,Ressources!$I$4+Ressources!$J$4*(('Saisie maison'!H14+'Saisie maison'!I14)-5),IF(('Saisie maison'!H14+'Saisie maison'!I14)=2,Ressources!$F$4,IF(('Saisie maison'!H14+'Saisie maison'!I14)=3,Ressources!$G$4,IF(('Saisie maison'!H14+'Saisie maison'!I14)=4,Ressources!$H$4,IF(('Saisie maison'!H14+'Saisie maison'!I14)=5,Ressources!$I$4,0))))), IF(OR(AND('Saisie maison'!Q14="RSA socle",'Saisie maison'!P14&lt;&gt;"RSA socle"),AND('Saisie maison'!P14="RSA socle",'Saisie maison'!Q14&lt;&gt;"RSA socle")),IF(('Saisie maison'!H14+'Saisie maison'!I14)&gt;4,Ressources!$I$3+Ressources!$J$3*(('Saisie maison'!H14+'Saisie maison'!I14)-4),IF(('Saisie maison'!H14+'Saisie maison'!I14)=1,Ressources!$F$3,IF(('Saisie maison'!H14+'Saisie maison'!I14)=2,Ressources!$G$3,IF(('Saisie maison'!H14+'Saisie maison'!I14)=3,Ressources!$H$3,IF(('Saisie maison'!H14+'Saisie maison'!I14)=4,Ressources!$I$3,0))))))+IF(P14=Ressources!$A$3,Ressources!$B$3,IF(P14=Ressources!$A$5,Ressources!$B$5,IF(P14=Ressources!$A$6,Ressources!$B$6,IF(P14=Ressources!$A$7,Ressources!$B$7,IF(P14=Ressources!$A$8,Ressources!$B$8,IF(P14=Ressources!$A$9,Ressources!$B$9,IF(P14=Ressources!$A$10,Ressources!$B$10,IF(P14=Ressources!$A$11,Ressources!$B$11,0))))))))+IF(Q14=Ressources!$A$3,Ressources!$B$3,IF(Q14=Ressources!$A$5,Ressources!$B$5,IF(Q14=Ressources!$A$6,Ressources!$B$6,IF(Q14=Ressources!$A$7,Ressources!$B$7,IF(Q14=Ressources!$A$8,Ressources!$B$8,IF(Q14=Ressources!$A$9,Ressources!$B$9,IF(Q14=Ressources!$A$10,Ressources!$B$10,IF(Q14=Ressources!$A$11,Ressources!$B$11,0)))))))))))</f>
        <v>0</v>
      </c>
      <c r="S14" s="231">
        <f>IF(AND(P14&lt;&gt;0,Q14&lt;&gt;0),IF((H14+I14)&gt;6,Ressources!$H$12+(H14+I14-6)*Ressources!$I$12+('Saisie maison'!H14-2)*Ressources!$I$13,IF((H14+I14)=6,Ressources!$H$12+('Saisie maison'!H14-2)*Ressources!$H$13,IF((H14+I14)=5,Ressources!$G$12+('Saisie maison'!H14-2)*Ressources!$G$13,IF((H14+I14)=4,Ressources!$F$12+('Saisie maison'!H14-2)*Ressources!$F$13,0)))),IF(OR(P14=0,Q14=0),IF((H14+I14)&gt;5,Ressources!$H$12+(H14+I14-5)*Ressources!$I$12+('Saisie maison'!H14-1)*Ressources!$I$13,IF((H14+I14)=5,Ressources!$H$12+('Saisie maison'!H14-1)*Ressources!$H$13,IF((H14+I14)=4,Ressources!$G$12+('Saisie maison'!H14-1)*Ressources!$G$13,IF((H14+I14)=3,Ressources!$F$12+('Saisie maison'!H14-1)*Ressources!$F$13,0))))))</f>
        <v>0</v>
      </c>
      <c r="T14" s="231">
        <f>IF(ISERROR('Cheque Energie'!G17),0,'Cheque Energie'!G17)</f>
        <v>0</v>
      </c>
      <c r="U14" s="233"/>
    </row>
    <row r="15" spans="1:21" ht="30" customHeight="1" x14ac:dyDescent="0.3">
      <c r="A15" s="243" t="s">
        <v>3</v>
      </c>
      <c r="B15" s="128"/>
      <c r="C15" s="234"/>
      <c r="D15" s="129"/>
      <c r="E15" s="128"/>
      <c r="F15" s="128"/>
      <c r="G15" s="128"/>
      <c r="H15" s="234"/>
      <c r="I15" s="234"/>
      <c r="J15" s="233"/>
      <c r="K15" s="233"/>
      <c r="L15" s="233"/>
      <c r="M15" s="233"/>
      <c r="N15" s="233"/>
      <c r="O15" s="233"/>
      <c r="P15" s="130"/>
      <c r="Q15" s="130"/>
      <c r="R15" s="231">
        <f>IF(OR(P15="RSA parent isolé",Q15="RSA parent isolé"),IF(H15+I15=1,Ressources!$F$8,IF(H15+I15=2,Ressources!$G$8,IF(H15+I15=3,Ressources!$H$8,IF(H15+I15&gt;3,Ressources!$H$8+(H15+I15-3)*Ressources!$I$8,0)))),IF(AND(P15="ASPA",Q15="ASPA"),Ressources!$F$17,IF(AND('Saisie maison'!Q15="RSA socle",'Saisie maison'!P15="RSA socle"),IF(('Saisie maison'!H15+'Saisie maison'!I15)&gt;5,Ressources!$I$4+Ressources!$J$4*(('Saisie maison'!H15+'Saisie maison'!I15)-5),IF(('Saisie maison'!H15+'Saisie maison'!I15)=2,Ressources!$F$4,IF(('Saisie maison'!H15+'Saisie maison'!I15)=3,Ressources!$G$4,IF(('Saisie maison'!H15+'Saisie maison'!I15)=4,Ressources!$H$4,IF(('Saisie maison'!H15+'Saisie maison'!I15)=5,Ressources!$I$4,0))))), IF(OR(AND('Saisie maison'!Q15="RSA socle",'Saisie maison'!P15&lt;&gt;"RSA socle"),AND('Saisie maison'!P15="RSA socle",'Saisie maison'!Q15&lt;&gt;"RSA socle")),IF(('Saisie maison'!H15+'Saisie maison'!I15)&gt;4,Ressources!$I$3+Ressources!$J$3*(('Saisie maison'!H15+'Saisie maison'!I15)-4),IF(('Saisie maison'!H15+'Saisie maison'!I15)=1,Ressources!$F$3,IF(('Saisie maison'!H15+'Saisie maison'!I15)=2,Ressources!$G$3,IF(('Saisie maison'!H15+'Saisie maison'!I15)=3,Ressources!$H$3,IF(('Saisie maison'!H15+'Saisie maison'!I15)=4,Ressources!$I$3,0))))))+IF(P15=Ressources!$A$3,Ressources!$B$3,IF(P15=Ressources!$A$5,Ressources!$B$5,IF(P15=Ressources!$A$6,Ressources!$B$6,IF(P15=Ressources!$A$7,Ressources!$B$7,IF(P15=Ressources!$A$8,Ressources!$B$8,IF(P15=Ressources!$A$9,Ressources!$B$9,IF(P15=Ressources!$A$10,Ressources!$B$10,IF(P15=Ressources!$A$11,Ressources!$B$11,0))))))))+IF(Q15=Ressources!$A$3,Ressources!$B$3,IF(Q15=Ressources!$A$5,Ressources!$B$5,IF(Q15=Ressources!$A$6,Ressources!$B$6,IF(Q15=Ressources!$A$7,Ressources!$B$7,IF(Q15=Ressources!$A$8,Ressources!$B$8,IF(Q15=Ressources!$A$9,Ressources!$B$9,IF(Q15=Ressources!$A$10,Ressources!$B$10,IF(Q15=Ressources!$A$11,Ressources!$B$11,0)))))))))))</f>
        <v>0</v>
      </c>
      <c r="S15" s="231">
        <f>IF(AND(P15&lt;&gt;0,Q15&lt;&gt;0),IF((H15+I15)&gt;6,Ressources!$H$12+(H15+I15-6)*Ressources!$I$12+('Saisie maison'!H15-2)*Ressources!$I$13,IF((H15+I15)=6,Ressources!$H$12+('Saisie maison'!H15-2)*Ressources!$H$13,IF((H15+I15)=5,Ressources!$G$12+('Saisie maison'!H15-2)*Ressources!$G$13,IF((H15+I15)=4,Ressources!$F$12+('Saisie maison'!H15-2)*Ressources!$F$13,0)))),IF(OR(P15=0,Q15=0),IF((H15+I15)&gt;5,Ressources!$H$12+(H15+I15-5)*Ressources!$I$12+('Saisie maison'!H15-1)*Ressources!$I$13,IF((H15+I15)=5,Ressources!$H$12+('Saisie maison'!H15-1)*Ressources!$H$13,IF((H15+I15)=4,Ressources!$G$12+('Saisie maison'!H15-1)*Ressources!$G$13,IF((H15+I15)=3,Ressources!$F$12+('Saisie maison'!H15-1)*Ressources!$F$13,0))))))</f>
        <v>0</v>
      </c>
      <c r="T15" s="231">
        <f>IF(ISERROR('Cheque Energie'!G18),0,'Cheque Energie'!G18)</f>
        <v>0</v>
      </c>
      <c r="U15" s="233"/>
    </row>
    <row r="16" spans="1:21" ht="30" customHeight="1" x14ac:dyDescent="0.3">
      <c r="A16" s="243" t="s">
        <v>4</v>
      </c>
      <c r="B16" s="128"/>
      <c r="C16" s="234"/>
      <c r="D16" s="129"/>
      <c r="E16" s="128"/>
      <c r="F16" s="128"/>
      <c r="G16" s="128"/>
      <c r="H16" s="234"/>
      <c r="I16" s="234"/>
      <c r="J16" s="233"/>
      <c r="K16" s="233"/>
      <c r="L16" s="233"/>
      <c r="M16" s="233"/>
      <c r="N16" s="233"/>
      <c r="O16" s="233"/>
      <c r="P16" s="130"/>
      <c r="Q16" s="130"/>
      <c r="R16" s="231">
        <f>IF(OR(P16="RSA parent isolé",Q16="RSA parent isolé"),IF(H16+I16=1,Ressources!$F$8,IF(H16+I16=2,Ressources!$G$8,IF(H16+I16=3,Ressources!$H$8,IF(H16+I16&gt;3,Ressources!$H$8+(H16+I16-3)*Ressources!$I$8,0)))),IF(AND(P16="ASPA",Q16="ASPA"),Ressources!$F$17,IF(AND('Saisie maison'!Q16="RSA socle",'Saisie maison'!P16="RSA socle"),IF(('Saisie maison'!H16+'Saisie maison'!I16)&gt;5,Ressources!$I$4+Ressources!$J$4*(('Saisie maison'!H16+'Saisie maison'!I16)-5),IF(('Saisie maison'!H16+'Saisie maison'!I16)=2,Ressources!$F$4,IF(('Saisie maison'!H16+'Saisie maison'!I16)=3,Ressources!$G$4,IF(('Saisie maison'!H16+'Saisie maison'!I16)=4,Ressources!$H$4,IF(('Saisie maison'!H16+'Saisie maison'!I16)=5,Ressources!$I$4,0))))), IF(OR(AND('Saisie maison'!Q16="RSA socle",'Saisie maison'!P16&lt;&gt;"RSA socle"),AND('Saisie maison'!P16="RSA socle",'Saisie maison'!Q16&lt;&gt;"RSA socle")),IF(('Saisie maison'!H16+'Saisie maison'!I16)&gt;4,Ressources!$I$3+Ressources!$J$3*(('Saisie maison'!H16+'Saisie maison'!I16)-4),IF(('Saisie maison'!H16+'Saisie maison'!I16)=1,Ressources!$F$3,IF(('Saisie maison'!H16+'Saisie maison'!I16)=2,Ressources!$G$3,IF(('Saisie maison'!H16+'Saisie maison'!I16)=3,Ressources!$H$3,IF(('Saisie maison'!H16+'Saisie maison'!I16)=4,Ressources!$I$3,0))))))+IF(P16=Ressources!$A$3,Ressources!$B$3,IF(P16=Ressources!$A$5,Ressources!$B$5,IF(P16=Ressources!$A$6,Ressources!$B$6,IF(P16=Ressources!$A$7,Ressources!$B$7,IF(P16=Ressources!$A$8,Ressources!$B$8,IF(P16=Ressources!$A$9,Ressources!$B$9,IF(P16=Ressources!$A$10,Ressources!$B$10,IF(P16=Ressources!$A$11,Ressources!$B$11,0))))))))+IF(Q16=Ressources!$A$3,Ressources!$B$3,IF(Q16=Ressources!$A$5,Ressources!$B$5,IF(Q16=Ressources!$A$6,Ressources!$B$6,IF(Q16=Ressources!$A$7,Ressources!$B$7,IF(Q16=Ressources!$A$8,Ressources!$B$8,IF(Q16=Ressources!$A$9,Ressources!$B$9,IF(Q16=Ressources!$A$10,Ressources!$B$10,IF(Q16=Ressources!$A$11,Ressources!$B$11,0)))))))))))</f>
        <v>0</v>
      </c>
      <c r="S16" s="231">
        <f>IF(AND(P16&lt;&gt;0,Q16&lt;&gt;0),IF((H16+I16)&gt;6,Ressources!$H$12+(H16+I16-6)*Ressources!$I$12+('Saisie maison'!H16-2)*Ressources!$I$13,IF((H16+I16)=6,Ressources!$H$12+('Saisie maison'!H16-2)*Ressources!$H$13,IF((H16+I16)=5,Ressources!$G$12+('Saisie maison'!H16-2)*Ressources!$G$13,IF((H16+I16)=4,Ressources!$F$12+('Saisie maison'!H16-2)*Ressources!$F$13,0)))),IF(OR(P16=0,Q16=0),IF((H16+I16)&gt;5,Ressources!$H$12+(H16+I16-5)*Ressources!$I$12+('Saisie maison'!H16-1)*Ressources!$I$13,IF((H16+I16)=5,Ressources!$H$12+('Saisie maison'!H16-1)*Ressources!$H$13,IF((H16+I16)=4,Ressources!$G$12+('Saisie maison'!H16-1)*Ressources!$G$13,IF((H16+I16)=3,Ressources!$F$12+('Saisie maison'!H16-1)*Ressources!$F$13,0))))))</f>
        <v>0</v>
      </c>
      <c r="T16" s="231">
        <f>IF(ISERROR('Cheque Energie'!G19),0,'Cheque Energie'!G19)</f>
        <v>0</v>
      </c>
      <c r="U16" s="233"/>
    </row>
    <row r="17" spans="1:21" ht="30" customHeight="1" x14ac:dyDescent="0.3">
      <c r="A17" s="243" t="s">
        <v>5</v>
      </c>
      <c r="B17" s="128"/>
      <c r="C17" s="234"/>
      <c r="D17" s="129"/>
      <c r="E17" s="128"/>
      <c r="F17" s="128"/>
      <c r="G17" s="128"/>
      <c r="H17" s="234"/>
      <c r="I17" s="234"/>
      <c r="J17" s="233"/>
      <c r="K17" s="233"/>
      <c r="L17" s="233"/>
      <c r="M17" s="233"/>
      <c r="N17" s="233"/>
      <c r="O17" s="233"/>
      <c r="P17" s="130"/>
      <c r="Q17" s="130"/>
      <c r="R17" s="231">
        <f>IF(OR(P17="RSA parent isolé",Q17="RSA parent isolé"),IF(H17+I17=1,Ressources!$F$8,IF(H17+I17=2,Ressources!$G$8,IF(H17+I17=3,Ressources!$H$8,IF(H17+I17&gt;3,Ressources!$H$8+(H17+I17-3)*Ressources!$I$8,0)))),IF(AND(P17="ASPA",Q17="ASPA"),Ressources!$F$17,IF(AND('Saisie maison'!Q17="RSA socle",'Saisie maison'!P17="RSA socle"),IF(('Saisie maison'!H17+'Saisie maison'!I17)&gt;5,Ressources!$I$4+Ressources!$J$4*(('Saisie maison'!H17+'Saisie maison'!I17)-5),IF(('Saisie maison'!H17+'Saisie maison'!I17)=2,Ressources!$F$4,IF(('Saisie maison'!H17+'Saisie maison'!I17)=3,Ressources!$G$4,IF(('Saisie maison'!H17+'Saisie maison'!I17)=4,Ressources!$H$4,IF(('Saisie maison'!H17+'Saisie maison'!I17)=5,Ressources!$I$4,0))))), IF(OR(AND('Saisie maison'!Q17="RSA socle",'Saisie maison'!P17&lt;&gt;"RSA socle"),AND('Saisie maison'!P17="RSA socle",'Saisie maison'!Q17&lt;&gt;"RSA socle")),IF(('Saisie maison'!H17+'Saisie maison'!I17)&gt;4,Ressources!$I$3+Ressources!$J$3*(('Saisie maison'!H17+'Saisie maison'!I17)-4),IF(('Saisie maison'!H17+'Saisie maison'!I17)=1,Ressources!$F$3,IF(('Saisie maison'!H17+'Saisie maison'!I17)=2,Ressources!$G$3,IF(('Saisie maison'!H17+'Saisie maison'!I17)=3,Ressources!$H$3,IF(('Saisie maison'!H17+'Saisie maison'!I17)=4,Ressources!$I$3,0))))))+IF(P17=Ressources!$A$3,Ressources!$B$3,IF(P17=Ressources!$A$5,Ressources!$B$5,IF(P17=Ressources!$A$6,Ressources!$B$6,IF(P17=Ressources!$A$7,Ressources!$B$7,IF(P17=Ressources!$A$8,Ressources!$B$8,IF(P17=Ressources!$A$9,Ressources!$B$9,IF(P17=Ressources!$A$10,Ressources!$B$10,IF(P17=Ressources!$A$11,Ressources!$B$11,0))))))))+IF(Q17=Ressources!$A$3,Ressources!$B$3,IF(Q17=Ressources!$A$5,Ressources!$B$5,IF(Q17=Ressources!$A$6,Ressources!$B$6,IF(Q17=Ressources!$A$7,Ressources!$B$7,IF(Q17=Ressources!$A$8,Ressources!$B$8,IF(Q17=Ressources!$A$9,Ressources!$B$9,IF(Q17=Ressources!$A$10,Ressources!$B$10,IF(Q17=Ressources!$A$11,Ressources!$B$11,0)))))))))))</f>
        <v>0</v>
      </c>
      <c r="S17" s="231">
        <f>IF(AND(P17&lt;&gt;0,Q17&lt;&gt;0),IF((H17+I17)&gt;6,Ressources!$H$12+(H17+I17-6)*Ressources!$I$12+('Saisie maison'!H17-2)*Ressources!$I$13,IF((H17+I17)=6,Ressources!$H$12+('Saisie maison'!H17-2)*Ressources!$H$13,IF((H17+I17)=5,Ressources!$G$12+('Saisie maison'!H17-2)*Ressources!$G$13,IF((H17+I17)=4,Ressources!$F$12+('Saisie maison'!H17-2)*Ressources!$F$13,0)))),IF(OR(P17=0,Q17=0),IF((H17+I17)&gt;5,Ressources!$H$12+(H17+I17-5)*Ressources!$I$12+('Saisie maison'!H17-1)*Ressources!$I$13,IF((H17+I17)=5,Ressources!$H$12+('Saisie maison'!H17-1)*Ressources!$H$13,IF((H17+I17)=4,Ressources!$G$12+('Saisie maison'!H17-1)*Ressources!$G$13,IF((H17+I17)=3,Ressources!$F$12+('Saisie maison'!H17-1)*Ressources!$F$13,0))))))</f>
        <v>0</v>
      </c>
      <c r="T17" s="231">
        <f>IF(ISERROR('Cheque Energie'!G20),0,'Cheque Energie'!G20)</f>
        <v>0</v>
      </c>
      <c r="U17" s="233"/>
    </row>
    <row r="18" spans="1:21" ht="30" hidden="1" customHeight="1" x14ac:dyDescent="0.3">
      <c r="A18" s="172" t="s">
        <v>4</v>
      </c>
      <c r="B18" s="173"/>
      <c r="C18" s="174"/>
      <c r="D18" s="174"/>
      <c r="E18" s="174"/>
      <c r="F18" s="174"/>
      <c r="G18" s="174"/>
      <c r="H18" s="174"/>
      <c r="I18" s="174"/>
      <c r="J18" s="174"/>
      <c r="K18" s="174"/>
      <c r="L18" s="174"/>
      <c r="M18" s="174"/>
      <c r="N18" s="174"/>
      <c r="O18" s="174"/>
      <c r="P18" s="130" t="s">
        <v>336</v>
      </c>
      <c r="Q18" s="174"/>
      <c r="R18" s="171">
        <f>IF(AND('Saisie maison'!Q18="RSA socle",'Saisie maison'!P18="RSA socle"),IF(('Saisie maison'!H18+'Saisie maison'!I18)&gt;5,Ressources!$I$4+Ressources!$J$4*(('Saisie maison'!H18+'Saisie maison'!I18)-5),IF(('Saisie maison'!H18+'Saisie maison'!I18)=2,Ressources!$F$4,IF(('Saisie maison'!H18+'Saisie maison'!I18)=3,Ressources!$G$4,IF(('Saisie maison'!H18+'Saisie maison'!I18)=4,Ressources!$H$4,IF(('Saisie maison'!H18+'Saisie maison'!I18)=5,Ressources!$I$4,0))))), IF(OR(AND('Saisie maison'!Q18="RSA socle",'Saisie maison'!P18&lt;&gt;"RSA socle"),AND('Saisie maison'!P18="RSA socle",'Saisie maison'!Q18&lt;&gt;"RSA socle")),IF(('Saisie maison'!H18+'Saisie maison'!I18)&gt;4,Ressources!$I$3+Ressources!$J$3*(('Saisie maison'!H18+'Saisie maison'!I18)-4),IF(('Saisie maison'!H18+'Saisie maison'!I18)=1,Ressources!$F$3,IF(('Saisie maison'!H18+'Saisie maison'!I18)=2,Ressources!$G$3,IF(('Saisie maison'!H18+'Saisie maison'!I18)=3,Ressources!$H$3,IF(('Saisie maison'!H18+'Saisie maison'!I18)=4,Ressources!$I$3,0))))))+IF(P18=Ressources!$A$3,Ressources!$B$3,IF(P18=Ressources!$A$5,Ressources!$B$5,IF(P18=Ressources!$A$6,Ressources!$B$6,IF(P18=Ressources!$A$7,Ressources!$B$7,IF(P18=Ressources!$A$8,Ressources!$B$8,IF(P18=Ressources!$A$9,Ressources!$B$9,IF(P18=Ressources!$A$10,Ressources!$B$10,IF(P18=Ressources!$A$11,Ressources!$B$11,0))))))))+IF(Q18=Ressources!$A$3,Ressources!$B$3,IF(Q18=Ressources!$A$5,Ressources!$B$5,IF(Q18=Ressources!$A$6,Ressources!$B$6,IF(Q18=Ressources!$A$7,Ressources!$B$7,IF(Q18=Ressources!$A$8,Ressources!$B$8,IF(Q18=Ressources!$A$9,Ressources!$B$9,IF(Q18=Ressources!$A$10,Ressources!$B$10,IF(Q18=Ressources!$A$11,Ressources!$B$11,0)))))))))</f>
        <v>0</v>
      </c>
      <c r="S18" s="171">
        <f>IF(AND(P18&lt;&gt;0,Q18&lt;&gt;0),IF((H18+I18)&gt;6,Ressources!$H$12+(H18+I18-6)*Ressources!$I$12+('Saisie maison'!H18-2)*Ressources!$I$13,IF((H18+I18)=6,Ressources!$H$12+('Saisie maison'!H18-2)*Ressources!$H$13,IF((H18+I18)=5,Ressources!$G$12+('Saisie maison'!H18-2)*Ressources!$G$13,IF((H18+I18)=4,Ressources!$F$12+('Saisie maison'!H18-2)*Ressources!$F$13,0)))),IF(OR(P18=0,Q18=0),IF((H18+I18)&gt;5,Ressources!$H$12+(H18+I18-5)*Ressources!$I$12+('Saisie maison'!H18-1)*Ressources!$I$13,IF((H18+I18)=5,Ressources!$H$12+('Saisie maison'!H18-1)*Ressources!$H$13,IF((H18+I18)=4,Ressources!$G$12+('Saisie maison'!H18-1)*Ressources!$G$13,IF((H18+I18)=3,Ressources!$F$12+('Saisie maison'!H18-1)*Ressources!$F$13,0))))))</f>
        <v>0</v>
      </c>
      <c r="T18" s="171"/>
      <c r="U18" s="174"/>
    </row>
    <row r="19" spans="1:21" ht="30" hidden="1" customHeight="1" x14ac:dyDescent="0.3">
      <c r="A19" s="172" t="s">
        <v>5</v>
      </c>
      <c r="B19" s="173"/>
      <c r="C19" s="174"/>
      <c r="D19" s="174"/>
      <c r="E19" s="174"/>
      <c r="F19" s="174"/>
      <c r="G19" s="174"/>
      <c r="H19" s="174"/>
      <c r="I19" s="174"/>
      <c r="J19" s="174"/>
      <c r="K19" s="174"/>
      <c r="L19" s="174"/>
      <c r="M19" s="174"/>
      <c r="N19" s="174"/>
      <c r="O19" s="174"/>
      <c r="P19" s="130" t="s">
        <v>336</v>
      </c>
      <c r="Q19" s="174"/>
      <c r="R19" s="171">
        <f>IF(AND('Saisie maison'!Q19="RSA socle",'Saisie maison'!P19="RSA socle"),IF(('Saisie maison'!H19+'Saisie maison'!I19)&gt;5,Ressources!$I$4+Ressources!$J$4*(('Saisie maison'!H19+'Saisie maison'!I19)-5),IF(('Saisie maison'!H19+'Saisie maison'!I19)=2,Ressources!$F$4,IF(('Saisie maison'!H19+'Saisie maison'!I19)=3,Ressources!$G$4,IF(('Saisie maison'!H19+'Saisie maison'!I19)=4,Ressources!$H$4,IF(('Saisie maison'!H19+'Saisie maison'!I19)=5,Ressources!$I$4,0))))), IF(OR(AND('Saisie maison'!Q19="RSA socle",'Saisie maison'!P19&lt;&gt;"RSA socle"),AND('Saisie maison'!P19="RSA socle",'Saisie maison'!Q19&lt;&gt;"RSA socle")),IF(('Saisie maison'!H19+'Saisie maison'!I19)&gt;4,Ressources!$I$3+Ressources!$J$3*(('Saisie maison'!H19+'Saisie maison'!I19)-4),IF(('Saisie maison'!H19+'Saisie maison'!I19)=1,Ressources!$F$3,IF(('Saisie maison'!H19+'Saisie maison'!I19)=2,Ressources!$G$3,IF(('Saisie maison'!H19+'Saisie maison'!I19)=3,Ressources!$H$3,IF(('Saisie maison'!H19+'Saisie maison'!I19)=4,Ressources!$I$3,0))))))+IF(P19=Ressources!$A$3,Ressources!$B$3,IF(P19=Ressources!$A$5,Ressources!$B$5,IF(P19=Ressources!$A$6,Ressources!$B$6,IF(P19=Ressources!$A$7,Ressources!$B$7,IF(P19=Ressources!$A$8,Ressources!$B$8,IF(P19=Ressources!$A$9,Ressources!$B$9,IF(P19=Ressources!$A$10,Ressources!$B$10,IF(P19=Ressources!$A$11,Ressources!$B$11,0))))))))+IF(Q19=Ressources!$A$3,Ressources!$B$3,IF(Q19=Ressources!$A$5,Ressources!$B$5,IF(Q19=Ressources!$A$6,Ressources!$B$6,IF(Q19=Ressources!$A$7,Ressources!$B$7,IF(Q19=Ressources!$A$8,Ressources!$B$8,IF(Q19=Ressources!$A$9,Ressources!$B$9,IF(Q19=Ressources!$A$10,Ressources!$B$10,IF(Q19=Ressources!$A$11,Ressources!$B$11,0)))))))))</f>
        <v>0</v>
      </c>
      <c r="S19" s="171">
        <f>IF(AND(P19&lt;&gt;0,Q19&lt;&gt;0),IF((H19+I19)&gt;6,Ressources!$H$12+(H19+I19-6)*Ressources!$I$12+('Saisie maison'!H19-2)*Ressources!$I$13,IF((H19+I19)=6,Ressources!$H$12+('Saisie maison'!H19-2)*Ressources!$H$13,IF((H19+I19)=5,Ressources!$G$12+('Saisie maison'!H19-2)*Ressources!$G$13,IF((H19+I19)=4,Ressources!$F$12+('Saisie maison'!H19-2)*Ressources!$F$13,0)))),IF(OR(P19=0,Q19=0),IF((H19+I19)&gt;5,Ressources!$H$12+(H19+I19-5)*Ressources!$I$12+('Saisie maison'!H19-1)*Ressources!$I$13,IF((H19+I19)=5,Ressources!$H$12+('Saisie maison'!H19-1)*Ressources!$H$13,IF((H19+I19)=4,Ressources!$G$12+('Saisie maison'!H19-1)*Ressources!$G$13,IF((H19+I19)=3,Ressources!$F$12+('Saisie maison'!H19-1)*Ressources!$F$13,0))))))</f>
        <v>0</v>
      </c>
      <c r="T19" s="171"/>
      <c r="U19" s="174"/>
    </row>
    <row r="20" spans="1:21" ht="30" hidden="1" customHeight="1" x14ac:dyDescent="0.3">
      <c r="A20" s="172" t="s">
        <v>6</v>
      </c>
      <c r="B20" s="173"/>
      <c r="C20" s="174"/>
      <c r="D20" s="174"/>
      <c r="E20" s="174"/>
      <c r="F20" s="174"/>
      <c r="G20" s="174"/>
      <c r="H20" s="174"/>
      <c r="I20" s="174"/>
      <c r="J20" s="174"/>
      <c r="K20" s="174"/>
      <c r="L20" s="174"/>
      <c r="M20" s="174"/>
      <c r="N20" s="174"/>
      <c r="O20" s="174"/>
      <c r="P20" s="130" t="s">
        <v>336</v>
      </c>
      <c r="Q20" s="174"/>
      <c r="R20" s="171">
        <f>IF(AND('Saisie maison'!Q20="RSA socle",'Saisie maison'!P20="RSA socle"),IF(('Saisie maison'!H20+'Saisie maison'!I20)&gt;5,Ressources!$I$4+Ressources!$J$4*(('Saisie maison'!H20+'Saisie maison'!I20)-5),IF(('Saisie maison'!H20+'Saisie maison'!I20)=2,Ressources!$F$4,IF(('Saisie maison'!H20+'Saisie maison'!I20)=3,Ressources!$G$4,IF(('Saisie maison'!H20+'Saisie maison'!I20)=4,Ressources!$H$4,IF(('Saisie maison'!H20+'Saisie maison'!I20)=5,Ressources!$I$4,0))))), IF(OR(AND('Saisie maison'!Q20="RSA socle",'Saisie maison'!P20&lt;&gt;"RSA socle"),AND('Saisie maison'!P20="RSA socle",'Saisie maison'!Q20&lt;&gt;"RSA socle")),IF(('Saisie maison'!H20+'Saisie maison'!I20)&gt;4,Ressources!$I$3+Ressources!$J$3*(('Saisie maison'!H20+'Saisie maison'!I20)-4),IF(('Saisie maison'!H20+'Saisie maison'!I20)=1,Ressources!$F$3,IF(('Saisie maison'!H20+'Saisie maison'!I20)=2,Ressources!$G$3,IF(('Saisie maison'!H20+'Saisie maison'!I20)=3,Ressources!$H$3,IF(('Saisie maison'!H20+'Saisie maison'!I20)=4,Ressources!$I$3,0))))))+IF(P20=Ressources!$A$3,Ressources!$B$3,IF(P20=Ressources!$A$5,Ressources!$B$5,IF(P20=Ressources!$A$6,Ressources!$B$6,IF(P20=Ressources!$A$7,Ressources!$B$7,IF(P20=Ressources!$A$8,Ressources!$B$8,IF(P20=Ressources!$A$9,Ressources!$B$9,IF(P20=Ressources!$A$10,Ressources!$B$10,IF(P20=Ressources!$A$11,Ressources!$B$11,0))))))))+IF(Q20=Ressources!$A$3,Ressources!$B$3,IF(Q20=Ressources!$A$5,Ressources!$B$5,IF(Q20=Ressources!$A$6,Ressources!$B$6,IF(Q20=Ressources!$A$7,Ressources!$B$7,IF(Q20=Ressources!$A$8,Ressources!$B$8,IF(Q20=Ressources!$A$9,Ressources!$B$9,IF(Q20=Ressources!$A$10,Ressources!$B$10,IF(Q20=Ressources!$A$11,Ressources!$B$11,0)))))))))</f>
        <v>0</v>
      </c>
      <c r="S20" s="171">
        <f>IF(AND(P20&lt;&gt;0,Q20&lt;&gt;0),IF((H20+I20)&gt;6,Ressources!$H$12+(H20+I20-6)*Ressources!$I$12+('Saisie maison'!H20-2)*Ressources!$I$13,IF((H20+I20)=6,Ressources!$H$12+('Saisie maison'!H20-2)*Ressources!$H$13,IF((H20+I20)=5,Ressources!$G$12+('Saisie maison'!H20-2)*Ressources!$G$13,IF((H20+I20)=4,Ressources!$F$12+('Saisie maison'!H20-2)*Ressources!$F$13,0)))),IF(OR(P20=0,Q20=0),IF((H20+I20)&gt;5,Ressources!$H$12+(H20+I20-5)*Ressources!$I$12+('Saisie maison'!H20-1)*Ressources!$I$13,IF((H20+I20)=5,Ressources!$H$12+('Saisie maison'!H20-1)*Ressources!$H$13,IF((H20+I20)=4,Ressources!$G$12+('Saisie maison'!H20-1)*Ressources!$G$13,IF((H20+I20)=3,Ressources!$F$12+('Saisie maison'!H20-1)*Ressources!$F$13,0))))))</f>
        <v>0</v>
      </c>
      <c r="T20" s="171"/>
      <c r="U20" s="174"/>
    </row>
    <row r="21" spans="1:21" ht="30" hidden="1" customHeight="1" x14ac:dyDescent="0.3">
      <c r="A21" s="172" t="s">
        <v>7</v>
      </c>
      <c r="B21" s="173"/>
      <c r="C21" s="174"/>
      <c r="D21" s="174"/>
      <c r="E21" s="174"/>
      <c r="F21" s="174"/>
      <c r="G21" s="174"/>
      <c r="H21" s="174"/>
      <c r="I21" s="174"/>
      <c r="J21" s="174"/>
      <c r="K21" s="174"/>
      <c r="L21" s="174"/>
      <c r="M21" s="174"/>
      <c r="N21" s="174"/>
      <c r="O21" s="174"/>
      <c r="P21" s="130" t="s">
        <v>336</v>
      </c>
      <c r="Q21" s="174"/>
      <c r="R21" s="171">
        <f>IF(AND('Saisie maison'!Q21="RSA socle",'Saisie maison'!P21="RSA socle"),IF(('Saisie maison'!H21+'Saisie maison'!I21)&gt;5,Ressources!$I$4+Ressources!$J$4*(('Saisie maison'!H21+'Saisie maison'!I21)-5),IF(('Saisie maison'!H21+'Saisie maison'!I21)=2,Ressources!$F$4,IF(('Saisie maison'!H21+'Saisie maison'!I21)=3,Ressources!$G$4,IF(('Saisie maison'!H21+'Saisie maison'!I21)=4,Ressources!$H$4,IF(('Saisie maison'!H21+'Saisie maison'!I21)=5,Ressources!$I$4,0))))), IF(OR(AND('Saisie maison'!Q21="RSA socle",'Saisie maison'!P21&lt;&gt;"RSA socle"),AND('Saisie maison'!P21="RSA socle",'Saisie maison'!Q21&lt;&gt;"RSA socle")),IF(('Saisie maison'!H21+'Saisie maison'!I21)&gt;4,Ressources!$I$3+Ressources!$J$3*(('Saisie maison'!H21+'Saisie maison'!I21)-4),IF(('Saisie maison'!H21+'Saisie maison'!I21)=1,Ressources!$F$3,IF(('Saisie maison'!H21+'Saisie maison'!I21)=2,Ressources!$G$3,IF(('Saisie maison'!H21+'Saisie maison'!I21)=3,Ressources!$H$3,IF(('Saisie maison'!H21+'Saisie maison'!I21)=4,Ressources!$I$3,0))))))+IF(P21=Ressources!$A$3,Ressources!$B$3,IF(P21=Ressources!$A$5,Ressources!$B$5,IF(P21=Ressources!$A$6,Ressources!$B$6,IF(P21=Ressources!$A$7,Ressources!$B$7,IF(P21=Ressources!$A$8,Ressources!$B$8,IF(P21=Ressources!$A$9,Ressources!$B$9,IF(P21=Ressources!$A$10,Ressources!$B$10,IF(P21=Ressources!$A$11,Ressources!$B$11,0))))))))+IF(Q21=Ressources!$A$3,Ressources!$B$3,IF(Q21=Ressources!$A$5,Ressources!$B$5,IF(Q21=Ressources!$A$6,Ressources!$B$6,IF(Q21=Ressources!$A$7,Ressources!$B$7,IF(Q21=Ressources!$A$8,Ressources!$B$8,IF(Q21=Ressources!$A$9,Ressources!$B$9,IF(Q21=Ressources!$A$10,Ressources!$B$10,IF(Q21=Ressources!$A$11,Ressources!$B$11,0)))))))))</f>
        <v>0</v>
      </c>
      <c r="S21" s="171">
        <f>IF(AND(P21&lt;&gt;0,Q21&lt;&gt;0),IF((H21+I21)&gt;6,Ressources!$H$12+(H21+I21-6)*Ressources!$I$12+('Saisie maison'!H21-2)*Ressources!$I$13,IF((H21+I21)=6,Ressources!$H$12+('Saisie maison'!H21-2)*Ressources!$H$13,IF((H21+I21)=5,Ressources!$G$12+('Saisie maison'!H21-2)*Ressources!$G$13,IF((H21+I21)=4,Ressources!$F$12+('Saisie maison'!H21-2)*Ressources!$F$13,0)))),IF(OR(P21=0,Q21=0),IF((H21+I21)&gt;5,Ressources!$H$12+(H21+I21-5)*Ressources!$I$12+('Saisie maison'!H21-1)*Ressources!$I$13,IF((H21+I21)=5,Ressources!$H$12+('Saisie maison'!H21-1)*Ressources!$H$13,IF((H21+I21)=4,Ressources!$G$12+('Saisie maison'!H21-1)*Ressources!$G$13,IF((H21+I21)=3,Ressources!$F$12+('Saisie maison'!H21-1)*Ressources!$F$13,0))))))</f>
        <v>0</v>
      </c>
      <c r="T21" s="171"/>
      <c r="U21" s="174"/>
    </row>
    <row r="22" spans="1:21" ht="30" hidden="1" customHeight="1" x14ac:dyDescent="0.3">
      <c r="A22" s="172" t="s">
        <v>8</v>
      </c>
      <c r="B22" s="173"/>
      <c r="C22" s="174"/>
      <c r="D22" s="174"/>
      <c r="E22" s="174"/>
      <c r="F22" s="174"/>
      <c r="G22" s="174"/>
      <c r="H22" s="174"/>
      <c r="I22" s="174"/>
      <c r="J22" s="174"/>
      <c r="K22" s="174"/>
      <c r="L22" s="174"/>
      <c r="M22" s="174"/>
      <c r="N22" s="174"/>
      <c r="O22" s="174"/>
      <c r="P22" s="130" t="s">
        <v>336</v>
      </c>
      <c r="Q22" s="174"/>
      <c r="R22" s="171">
        <f>IF(AND('Saisie maison'!Q22="RSA socle",'Saisie maison'!P22="RSA socle"),IF(('Saisie maison'!H22+'Saisie maison'!I22)&gt;5,Ressources!$I$4+Ressources!$J$4*(('Saisie maison'!H22+'Saisie maison'!I22)-5),IF(('Saisie maison'!H22+'Saisie maison'!I22)=2,Ressources!$F$4,IF(('Saisie maison'!H22+'Saisie maison'!I22)=3,Ressources!$G$4,IF(('Saisie maison'!H22+'Saisie maison'!I22)=4,Ressources!$H$4,IF(('Saisie maison'!H22+'Saisie maison'!I22)=5,Ressources!$I$4,0))))), IF(OR(AND('Saisie maison'!Q22="RSA socle",'Saisie maison'!P22&lt;&gt;"RSA socle"),AND('Saisie maison'!P22="RSA socle",'Saisie maison'!Q22&lt;&gt;"RSA socle")),IF(('Saisie maison'!H22+'Saisie maison'!I22)&gt;4,Ressources!$I$3+Ressources!$J$3*(('Saisie maison'!H22+'Saisie maison'!I22)-4),IF(('Saisie maison'!H22+'Saisie maison'!I22)=1,Ressources!$F$3,IF(('Saisie maison'!H22+'Saisie maison'!I22)=2,Ressources!$G$3,IF(('Saisie maison'!H22+'Saisie maison'!I22)=3,Ressources!$H$3,IF(('Saisie maison'!H22+'Saisie maison'!I22)=4,Ressources!$I$3,0))))))+IF(P22=Ressources!$A$3,Ressources!$B$3,IF(P22=Ressources!$A$5,Ressources!$B$5,IF(P22=Ressources!$A$6,Ressources!$B$6,IF(P22=Ressources!$A$7,Ressources!$B$7,IF(P22=Ressources!$A$8,Ressources!$B$8,IF(P22=Ressources!$A$9,Ressources!$B$9,IF(P22=Ressources!$A$10,Ressources!$B$10,IF(P22=Ressources!$A$11,Ressources!$B$11,0))))))))+IF(Q22=Ressources!$A$3,Ressources!$B$3,IF(Q22=Ressources!$A$5,Ressources!$B$5,IF(Q22=Ressources!$A$6,Ressources!$B$6,IF(Q22=Ressources!$A$7,Ressources!$B$7,IF(Q22=Ressources!$A$8,Ressources!$B$8,IF(Q22=Ressources!$A$9,Ressources!$B$9,IF(Q22=Ressources!$A$10,Ressources!$B$10,IF(Q22=Ressources!$A$11,Ressources!$B$11,0)))))))))</f>
        <v>0</v>
      </c>
      <c r="S22" s="171">
        <f>IF(AND(P22&lt;&gt;0,Q22&lt;&gt;0),IF((H22+I22)&gt;6,Ressources!$H$12+(H22+I22-6)*Ressources!$I$12+('Saisie maison'!H22-2)*Ressources!$I$13,IF((H22+I22)=6,Ressources!$H$12+('Saisie maison'!H22-2)*Ressources!$H$13,IF((H22+I22)=5,Ressources!$G$12+('Saisie maison'!H22-2)*Ressources!$G$13,IF((H22+I22)=4,Ressources!$F$12+('Saisie maison'!H22-2)*Ressources!$F$13,0)))),IF(OR(P22=0,Q22=0),IF((H22+I22)&gt;5,Ressources!$H$12+(H22+I22-5)*Ressources!$I$12+('Saisie maison'!H22-1)*Ressources!$I$13,IF((H22+I22)=5,Ressources!$H$12+('Saisie maison'!H22-1)*Ressources!$H$13,IF((H22+I22)=4,Ressources!$G$12+('Saisie maison'!H22-1)*Ressources!$G$13,IF((H22+I22)=3,Ressources!$F$12+('Saisie maison'!H22-1)*Ressources!$F$13,0))))))</f>
        <v>0</v>
      </c>
      <c r="T22" s="171"/>
      <c r="U22" s="174"/>
    </row>
    <row r="23" spans="1:21" ht="30" hidden="1" customHeight="1" x14ac:dyDescent="0.3">
      <c r="A23" s="172" t="s">
        <v>9</v>
      </c>
      <c r="B23" s="173"/>
      <c r="C23" s="174"/>
      <c r="D23" s="174"/>
      <c r="E23" s="174"/>
      <c r="F23" s="174"/>
      <c r="G23" s="174"/>
      <c r="H23" s="174"/>
      <c r="I23" s="174"/>
      <c r="J23" s="174"/>
      <c r="K23" s="174"/>
      <c r="L23" s="174"/>
      <c r="M23" s="174"/>
      <c r="N23" s="174"/>
      <c r="O23" s="174"/>
      <c r="P23" s="130" t="s">
        <v>336</v>
      </c>
      <c r="Q23" s="174"/>
      <c r="R23" s="171">
        <f>IF(AND('Saisie maison'!Q23="RSA socle",'Saisie maison'!P23="RSA socle"),IF(('Saisie maison'!H23+'Saisie maison'!I23)&gt;5,Ressources!$I$4+Ressources!$J$4*(('Saisie maison'!H23+'Saisie maison'!I23)-5),IF(('Saisie maison'!H23+'Saisie maison'!I23)=2,Ressources!$F$4,IF(('Saisie maison'!H23+'Saisie maison'!I23)=3,Ressources!$G$4,IF(('Saisie maison'!H23+'Saisie maison'!I23)=4,Ressources!$H$4,IF(('Saisie maison'!H23+'Saisie maison'!I23)=5,Ressources!$I$4,0))))), IF(OR(AND('Saisie maison'!Q23="RSA socle",'Saisie maison'!P23&lt;&gt;"RSA socle"),AND('Saisie maison'!P23="RSA socle",'Saisie maison'!Q23&lt;&gt;"RSA socle")),IF(('Saisie maison'!H23+'Saisie maison'!I23)&gt;4,Ressources!$I$3+Ressources!$J$3*(('Saisie maison'!H23+'Saisie maison'!I23)-4),IF(('Saisie maison'!H23+'Saisie maison'!I23)=1,Ressources!$F$3,IF(('Saisie maison'!H23+'Saisie maison'!I23)=2,Ressources!$G$3,IF(('Saisie maison'!H23+'Saisie maison'!I23)=3,Ressources!$H$3,IF(('Saisie maison'!H23+'Saisie maison'!I23)=4,Ressources!$I$3,0))))))+IF(P23=Ressources!$A$3,Ressources!$B$3,IF(P23=Ressources!$A$5,Ressources!$B$5,IF(P23=Ressources!$A$6,Ressources!$B$6,IF(P23=Ressources!$A$7,Ressources!$B$7,IF(P23=Ressources!$A$8,Ressources!$B$8,IF(P23=Ressources!$A$9,Ressources!$B$9,IF(P23=Ressources!$A$10,Ressources!$B$10,IF(P23=Ressources!$A$11,Ressources!$B$11,0))))))))+IF(Q23=Ressources!$A$3,Ressources!$B$3,IF(Q23=Ressources!$A$5,Ressources!$B$5,IF(Q23=Ressources!$A$6,Ressources!$B$6,IF(Q23=Ressources!$A$7,Ressources!$B$7,IF(Q23=Ressources!$A$8,Ressources!$B$8,IF(Q23=Ressources!$A$9,Ressources!$B$9,IF(Q23=Ressources!$A$10,Ressources!$B$10,IF(Q23=Ressources!$A$11,Ressources!$B$11,0)))))))))</f>
        <v>0</v>
      </c>
      <c r="S23" s="171">
        <f>IF(AND(P23&lt;&gt;0,Q23&lt;&gt;0),IF((H23+I23)&gt;6,Ressources!$H$12+(H23+I23-6)*Ressources!$I$12+('Saisie maison'!H23-2)*Ressources!$I$13,IF((H23+I23)=6,Ressources!$H$12+('Saisie maison'!H23-2)*Ressources!$H$13,IF((H23+I23)=5,Ressources!$G$12+('Saisie maison'!H23-2)*Ressources!$G$13,IF((H23+I23)=4,Ressources!$F$12+('Saisie maison'!H23-2)*Ressources!$F$13,0)))),IF(OR(P23=0,Q23=0),IF((H23+I23)&gt;5,Ressources!$H$12+(H23+I23-5)*Ressources!$I$12+('Saisie maison'!H23-1)*Ressources!$I$13,IF((H23+I23)=5,Ressources!$H$12+('Saisie maison'!H23-1)*Ressources!$H$13,IF((H23+I23)=4,Ressources!$G$12+('Saisie maison'!H23-1)*Ressources!$G$13,IF((H23+I23)=3,Ressources!$F$12+('Saisie maison'!H23-1)*Ressources!$F$13,0))))))</f>
        <v>0</v>
      </c>
      <c r="T23" s="171"/>
      <c r="U23" s="174"/>
    </row>
    <row r="24" spans="1:21" ht="30" hidden="1" customHeight="1" x14ac:dyDescent="0.3">
      <c r="A24" s="172" t="s">
        <v>10</v>
      </c>
      <c r="B24" s="173"/>
      <c r="C24" s="174"/>
      <c r="D24" s="174"/>
      <c r="E24" s="174"/>
      <c r="F24" s="174"/>
      <c r="G24" s="174"/>
      <c r="H24" s="174"/>
      <c r="I24" s="174"/>
      <c r="J24" s="174"/>
      <c r="K24" s="174"/>
      <c r="L24" s="174"/>
      <c r="M24" s="174"/>
      <c r="N24" s="174"/>
      <c r="O24" s="174"/>
      <c r="P24" s="130" t="s">
        <v>336</v>
      </c>
      <c r="Q24" s="174"/>
      <c r="R24" s="171">
        <f>IF(AND('Saisie maison'!Q24="RSA socle",'Saisie maison'!P24="RSA socle"),IF(('Saisie maison'!H24+'Saisie maison'!I24)&gt;5,Ressources!$I$4+Ressources!$J$4*(('Saisie maison'!H24+'Saisie maison'!I24)-5),IF(('Saisie maison'!H24+'Saisie maison'!I24)=2,Ressources!$F$4,IF(('Saisie maison'!H24+'Saisie maison'!I24)=3,Ressources!$G$4,IF(('Saisie maison'!H24+'Saisie maison'!I24)=4,Ressources!$H$4,IF(('Saisie maison'!H24+'Saisie maison'!I24)=5,Ressources!$I$4,0))))), IF(OR(AND('Saisie maison'!Q24="RSA socle",'Saisie maison'!P24&lt;&gt;"RSA socle"),AND('Saisie maison'!P24="RSA socle",'Saisie maison'!Q24&lt;&gt;"RSA socle")),IF(('Saisie maison'!H24+'Saisie maison'!I24)&gt;4,Ressources!$I$3+Ressources!$J$3*(('Saisie maison'!H24+'Saisie maison'!I24)-4),IF(('Saisie maison'!H24+'Saisie maison'!I24)=1,Ressources!$F$3,IF(('Saisie maison'!H24+'Saisie maison'!I24)=2,Ressources!$G$3,IF(('Saisie maison'!H24+'Saisie maison'!I24)=3,Ressources!$H$3,IF(('Saisie maison'!H24+'Saisie maison'!I24)=4,Ressources!$I$3,0))))))+IF(P24=Ressources!$A$3,Ressources!$B$3,IF(P24=Ressources!$A$5,Ressources!$B$5,IF(P24=Ressources!$A$6,Ressources!$B$6,IF(P24=Ressources!$A$7,Ressources!$B$7,IF(P24=Ressources!$A$8,Ressources!$B$8,IF(P24=Ressources!$A$9,Ressources!$B$9,IF(P24=Ressources!$A$10,Ressources!$B$10,IF(P24=Ressources!$A$11,Ressources!$B$11,0))))))))+IF(Q24=Ressources!$A$3,Ressources!$B$3,IF(Q24=Ressources!$A$5,Ressources!$B$5,IF(Q24=Ressources!$A$6,Ressources!$B$6,IF(Q24=Ressources!$A$7,Ressources!$B$7,IF(Q24=Ressources!$A$8,Ressources!$B$8,IF(Q24=Ressources!$A$9,Ressources!$B$9,IF(Q24=Ressources!$A$10,Ressources!$B$10,IF(Q24=Ressources!$A$11,Ressources!$B$11,0)))))))))</f>
        <v>0</v>
      </c>
      <c r="S24" s="171">
        <f>IF(AND(P24&lt;&gt;0,Q24&lt;&gt;0),IF((H24+I24)&gt;6,Ressources!$H$12+(H24+I24-6)*Ressources!$I$12+('Saisie maison'!H24-2)*Ressources!$I$13,IF((H24+I24)=6,Ressources!$H$12+('Saisie maison'!H24-2)*Ressources!$H$13,IF((H24+I24)=5,Ressources!$G$12+('Saisie maison'!H24-2)*Ressources!$G$13,IF((H24+I24)=4,Ressources!$F$12+('Saisie maison'!H24-2)*Ressources!$F$13,0)))),IF(OR(P24=0,Q24=0),IF((H24+I24)&gt;5,Ressources!$H$12+(H24+I24-5)*Ressources!$I$12+('Saisie maison'!H24-1)*Ressources!$I$13,IF((H24+I24)=5,Ressources!$H$12+('Saisie maison'!H24-1)*Ressources!$H$13,IF((H24+I24)=4,Ressources!$G$12+('Saisie maison'!H24-1)*Ressources!$G$13,IF((H24+I24)=3,Ressources!$F$12+('Saisie maison'!H24-1)*Ressources!$F$13,0))))))</f>
        <v>0</v>
      </c>
      <c r="T24" s="171"/>
      <c r="U24" s="174"/>
    </row>
    <row r="25" spans="1:21" ht="30" hidden="1" customHeight="1" x14ac:dyDescent="0.3">
      <c r="A25" s="172" t="s">
        <v>11</v>
      </c>
      <c r="B25" s="173"/>
      <c r="C25" s="174"/>
      <c r="D25" s="174"/>
      <c r="E25" s="174"/>
      <c r="F25" s="174"/>
      <c r="G25" s="174"/>
      <c r="H25" s="174"/>
      <c r="I25" s="174"/>
      <c r="J25" s="174"/>
      <c r="K25" s="174"/>
      <c r="L25" s="174"/>
      <c r="M25" s="174"/>
      <c r="N25" s="174"/>
      <c r="O25" s="174"/>
      <c r="P25" s="130" t="s">
        <v>336</v>
      </c>
      <c r="Q25" s="174"/>
      <c r="R25" s="171">
        <f>IF(AND('Saisie maison'!Q25="RSA socle",'Saisie maison'!P25="RSA socle"),IF(('Saisie maison'!H25+'Saisie maison'!I25)&gt;5,Ressources!$I$4+Ressources!$J$4*(('Saisie maison'!H25+'Saisie maison'!I25)-5),IF(('Saisie maison'!H25+'Saisie maison'!I25)=2,Ressources!$F$4,IF(('Saisie maison'!H25+'Saisie maison'!I25)=3,Ressources!$G$4,IF(('Saisie maison'!H25+'Saisie maison'!I25)=4,Ressources!$H$4,IF(('Saisie maison'!H25+'Saisie maison'!I25)=5,Ressources!$I$4,0))))), IF(OR(AND('Saisie maison'!Q25="RSA socle",'Saisie maison'!P25&lt;&gt;"RSA socle"),AND('Saisie maison'!P25="RSA socle",'Saisie maison'!Q25&lt;&gt;"RSA socle")),IF(('Saisie maison'!H25+'Saisie maison'!I25)&gt;4,Ressources!$I$3+Ressources!$J$3*(('Saisie maison'!H25+'Saisie maison'!I25)-4),IF(('Saisie maison'!H25+'Saisie maison'!I25)=1,Ressources!$F$3,IF(('Saisie maison'!H25+'Saisie maison'!I25)=2,Ressources!$G$3,IF(('Saisie maison'!H25+'Saisie maison'!I25)=3,Ressources!$H$3,IF(('Saisie maison'!H25+'Saisie maison'!I25)=4,Ressources!$I$3,0))))))+IF(P25=Ressources!$A$3,Ressources!$B$3,IF(P25=Ressources!$A$5,Ressources!$B$5,IF(P25=Ressources!$A$6,Ressources!$B$6,IF(P25=Ressources!$A$7,Ressources!$B$7,IF(P25=Ressources!$A$8,Ressources!$B$8,IF(P25=Ressources!$A$9,Ressources!$B$9,IF(P25=Ressources!$A$10,Ressources!$B$10,IF(P25=Ressources!$A$11,Ressources!$B$11,0))))))))+IF(Q25=Ressources!$A$3,Ressources!$B$3,IF(Q25=Ressources!$A$5,Ressources!$B$5,IF(Q25=Ressources!$A$6,Ressources!$B$6,IF(Q25=Ressources!$A$7,Ressources!$B$7,IF(Q25=Ressources!$A$8,Ressources!$B$8,IF(Q25=Ressources!$A$9,Ressources!$B$9,IF(Q25=Ressources!$A$10,Ressources!$B$10,IF(Q25=Ressources!$A$11,Ressources!$B$11,0)))))))))</f>
        <v>0</v>
      </c>
      <c r="S25" s="171">
        <f>IF(AND(P25&lt;&gt;0,Q25&lt;&gt;0),IF((H25+I25)&gt;6,Ressources!$H$12+(H25+I25-6)*Ressources!$I$12+('Saisie maison'!H25-2)*Ressources!$I$13,IF((H25+I25)=6,Ressources!$H$12+('Saisie maison'!H25-2)*Ressources!$H$13,IF((H25+I25)=5,Ressources!$G$12+('Saisie maison'!H25-2)*Ressources!$G$13,IF((H25+I25)=4,Ressources!$F$12+('Saisie maison'!H25-2)*Ressources!$F$13,0)))),IF(OR(P25=0,Q25=0),IF((H25+I25)&gt;5,Ressources!$H$12+(H25+I25-5)*Ressources!$I$12+('Saisie maison'!H25-1)*Ressources!$I$13,IF((H25+I25)=5,Ressources!$H$12+('Saisie maison'!H25-1)*Ressources!$H$13,IF((H25+I25)=4,Ressources!$G$12+('Saisie maison'!H25-1)*Ressources!$G$13,IF((H25+I25)=3,Ressources!$F$12+('Saisie maison'!H25-1)*Ressources!$F$13,0))))))</f>
        <v>0</v>
      </c>
      <c r="T25" s="171"/>
      <c r="U25" s="174"/>
    </row>
    <row r="26" spans="1:21" ht="30" hidden="1" customHeight="1" x14ac:dyDescent="0.3">
      <c r="A26" s="172" t="s">
        <v>12</v>
      </c>
      <c r="B26" s="173"/>
      <c r="C26" s="174"/>
      <c r="D26" s="174"/>
      <c r="E26" s="174"/>
      <c r="F26" s="174"/>
      <c r="G26" s="174"/>
      <c r="H26" s="174"/>
      <c r="I26" s="174"/>
      <c r="J26" s="174"/>
      <c r="K26" s="174"/>
      <c r="L26" s="174"/>
      <c r="M26" s="174"/>
      <c r="N26" s="174"/>
      <c r="O26" s="174"/>
      <c r="P26" s="130" t="s">
        <v>336</v>
      </c>
      <c r="Q26" s="174"/>
      <c r="R26" s="171">
        <f>IF(AND('Saisie maison'!Q26="RSA socle",'Saisie maison'!P26="RSA socle"),IF(('Saisie maison'!H26+'Saisie maison'!I26)&gt;5,Ressources!$I$4+Ressources!$J$4*(('Saisie maison'!H26+'Saisie maison'!I26)-5),IF(('Saisie maison'!H26+'Saisie maison'!I26)=2,Ressources!$F$4,IF(('Saisie maison'!H26+'Saisie maison'!I26)=3,Ressources!$G$4,IF(('Saisie maison'!H26+'Saisie maison'!I26)=4,Ressources!$H$4,IF(('Saisie maison'!H26+'Saisie maison'!I26)=5,Ressources!$I$4,0))))), IF(OR(AND('Saisie maison'!Q26="RSA socle",'Saisie maison'!P26&lt;&gt;"RSA socle"),AND('Saisie maison'!P26="RSA socle",'Saisie maison'!Q26&lt;&gt;"RSA socle")),IF(('Saisie maison'!H26+'Saisie maison'!I26)&gt;4,Ressources!$I$3+Ressources!$J$3*(('Saisie maison'!H26+'Saisie maison'!I26)-4),IF(('Saisie maison'!H26+'Saisie maison'!I26)=1,Ressources!$F$3,IF(('Saisie maison'!H26+'Saisie maison'!I26)=2,Ressources!$G$3,IF(('Saisie maison'!H26+'Saisie maison'!I26)=3,Ressources!$H$3,IF(('Saisie maison'!H26+'Saisie maison'!I26)=4,Ressources!$I$3,0))))))+IF(P26=Ressources!$A$3,Ressources!$B$3,IF(P26=Ressources!$A$5,Ressources!$B$5,IF(P26=Ressources!$A$6,Ressources!$B$6,IF(P26=Ressources!$A$7,Ressources!$B$7,IF(P26=Ressources!$A$8,Ressources!$B$8,IF(P26=Ressources!$A$9,Ressources!$B$9,IF(P26=Ressources!$A$10,Ressources!$B$10,IF(P26=Ressources!$A$11,Ressources!$B$11,0))))))))+IF(Q26=Ressources!$A$3,Ressources!$B$3,IF(Q26=Ressources!$A$5,Ressources!$B$5,IF(Q26=Ressources!$A$6,Ressources!$B$6,IF(Q26=Ressources!$A$7,Ressources!$B$7,IF(Q26=Ressources!$A$8,Ressources!$B$8,IF(Q26=Ressources!$A$9,Ressources!$B$9,IF(Q26=Ressources!$A$10,Ressources!$B$10,IF(Q26=Ressources!$A$11,Ressources!$B$11,0)))))))))</f>
        <v>0</v>
      </c>
      <c r="S26" s="171">
        <f>IF(AND(P26&lt;&gt;0,Q26&lt;&gt;0),IF((H26+I26)&gt;6,Ressources!$H$12+(H26+I26-6)*Ressources!$I$12+('Saisie maison'!H26-2)*Ressources!$I$13,IF((H26+I26)=6,Ressources!$H$12+('Saisie maison'!H26-2)*Ressources!$H$13,IF((H26+I26)=5,Ressources!$G$12+('Saisie maison'!H26-2)*Ressources!$G$13,IF((H26+I26)=4,Ressources!$F$12+('Saisie maison'!H26-2)*Ressources!$F$13,0)))),IF(OR(P26=0,Q26=0),IF((H26+I26)&gt;5,Ressources!$H$12+(H26+I26-5)*Ressources!$I$12+('Saisie maison'!H26-1)*Ressources!$I$13,IF((H26+I26)=5,Ressources!$H$12+('Saisie maison'!H26-1)*Ressources!$H$13,IF((H26+I26)=4,Ressources!$G$12+('Saisie maison'!H26-1)*Ressources!$G$13,IF((H26+I26)=3,Ressources!$F$12+('Saisie maison'!H26-1)*Ressources!$F$13,0))))))</f>
        <v>0</v>
      </c>
      <c r="T26" s="171"/>
      <c r="U26" s="174"/>
    </row>
    <row r="27" spans="1:21" ht="30" hidden="1" customHeight="1" x14ac:dyDescent="0.3">
      <c r="A27" s="172" t="s">
        <v>13</v>
      </c>
      <c r="B27" s="173"/>
      <c r="C27" s="174"/>
      <c r="D27" s="174"/>
      <c r="E27" s="174"/>
      <c r="F27" s="174"/>
      <c r="G27" s="174"/>
      <c r="H27" s="174"/>
      <c r="I27" s="174"/>
      <c r="J27" s="174"/>
      <c r="K27" s="174"/>
      <c r="L27" s="174"/>
      <c r="M27" s="174"/>
      <c r="N27" s="174"/>
      <c r="O27" s="174"/>
      <c r="P27" s="130" t="s">
        <v>336</v>
      </c>
      <c r="Q27" s="174"/>
      <c r="R27" s="171">
        <f>IF(AND('Saisie maison'!Q27="RSA socle",'Saisie maison'!P27="RSA socle"),IF(('Saisie maison'!H27+'Saisie maison'!I27)&gt;5,Ressources!$I$4+Ressources!$J$4*(('Saisie maison'!H27+'Saisie maison'!I27)-5),IF(('Saisie maison'!H27+'Saisie maison'!I27)=2,Ressources!$F$4,IF(('Saisie maison'!H27+'Saisie maison'!I27)=3,Ressources!$G$4,IF(('Saisie maison'!H27+'Saisie maison'!I27)=4,Ressources!$H$4,IF(('Saisie maison'!H27+'Saisie maison'!I27)=5,Ressources!$I$4,0))))), IF(OR(AND('Saisie maison'!Q27="RSA socle",'Saisie maison'!P27&lt;&gt;"RSA socle"),AND('Saisie maison'!P27="RSA socle",'Saisie maison'!Q27&lt;&gt;"RSA socle")),IF(('Saisie maison'!H27+'Saisie maison'!I27)&gt;4,Ressources!$I$3+Ressources!$J$3*(('Saisie maison'!H27+'Saisie maison'!I27)-4),IF(('Saisie maison'!H27+'Saisie maison'!I27)=1,Ressources!$F$3,IF(('Saisie maison'!H27+'Saisie maison'!I27)=2,Ressources!$G$3,IF(('Saisie maison'!H27+'Saisie maison'!I27)=3,Ressources!$H$3,IF(('Saisie maison'!H27+'Saisie maison'!I27)=4,Ressources!$I$3,0))))))+IF(P27=Ressources!$A$3,Ressources!$B$3,IF(P27=Ressources!$A$5,Ressources!$B$5,IF(P27=Ressources!$A$6,Ressources!$B$6,IF(P27=Ressources!$A$7,Ressources!$B$7,IF(P27=Ressources!$A$8,Ressources!$B$8,IF(P27=Ressources!$A$9,Ressources!$B$9,IF(P27=Ressources!$A$10,Ressources!$B$10,IF(P27=Ressources!$A$11,Ressources!$B$11,0))))))))+IF(Q27=Ressources!$A$3,Ressources!$B$3,IF(Q27=Ressources!$A$5,Ressources!$B$5,IF(Q27=Ressources!$A$6,Ressources!$B$6,IF(Q27=Ressources!$A$7,Ressources!$B$7,IF(Q27=Ressources!$A$8,Ressources!$B$8,IF(Q27=Ressources!$A$9,Ressources!$B$9,IF(Q27=Ressources!$A$10,Ressources!$B$10,IF(Q27=Ressources!$A$11,Ressources!$B$11,0)))))))))</f>
        <v>0</v>
      </c>
      <c r="S27" s="171">
        <f>IF(AND(P27&lt;&gt;0,Q27&lt;&gt;0),IF((H27+I27)&gt;6,Ressources!$H$12+(H27+I27-6)*Ressources!$I$12+('Saisie maison'!H27-2)*Ressources!$I$13,IF((H27+I27)=6,Ressources!$H$12+('Saisie maison'!H27-2)*Ressources!$H$13,IF((H27+I27)=5,Ressources!$G$12+('Saisie maison'!H27-2)*Ressources!$G$13,IF((H27+I27)=4,Ressources!$F$12+('Saisie maison'!H27-2)*Ressources!$F$13,0)))),IF(OR(P27=0,Q27=0),IF((H27+I27)&gt;5,Ressources!$H$12+(H27+I27-5)*Ressources!$I$12+('Saisie maison'!H27-1)*Ressources!$I$13,IF((H27+I27)=5,Ressources!$H$12+('Saisie maison'!H27-1)*Ressources!$H$13,IF((H27+I27)=4,Ressources!$G$12+('Saisie maison'!H27-1)*Ressources!$G$13,IF((H27+I27)=3,Ressources!$F$12+('Saisie maison'!H27-1)*Ressources!$F$13,0))))))</f>
        <v>0</v>
      </c>
      <c r="T27" s="171"/>
      <c r="U27" s="174"/>
    </row>
    <row r="28" spans="1:21" ht="30" hidden="1" customHeight="1" x14ac:dyDescent="0.3">
      <c r="A28" s="172" t="s">
        <v>14</v>
      </c>
      <c r="B28" s="173"/>
      <c r="C28" s="174"/>
      <c r="D28" s="174"/>
      <c r="E28" s="174"/>
      <c r="F28" s="174"/>
      <c r="G28" s="174"/>
      <c r="H28" s="174"/>
      <c r="I28" s="174"/>
      <c r="J28" s="174"/>
      <c r="K28" s="174"/>
      <c r="L28" s="174"/>
      <c r="M28" s="174"/>
      <c r="N28" s="174"/>
      <c r="O28" s="174"/>
      <c r="P28" s="130" t="s">
        <v>336</v>
      </c>
      <c r="Q28" s="174"/>
      <c r="R28" s="171">
        <f>IF(AND('Saisie maison'!Q28="RSA socle",'Saisie maison'!P28="RSA socle"),IF(('Saisie maison'!H28+'Saisie maison'!I28)&gt;5,Ressources!$I$4+Ressources!$J$4*(('Saisie maison'!H28+'Saisie maison'!I28)-5),IF(('Saisie maison'!H28+'Saisie maison'!I28)=2,Ressources!$F$4,IF(('Saisie maison'!H28+'Saisie maison'!I28)=3,Ressources!$G$4,IF(('Saisie maison'!H28+'Saisie maison'!I28)=4,Ressources!$H$4,IF(('Saisie maison'!H28+'Saisie maison'!I28)=5,Ressources!$I$4,0))))), IF(OR(AND('Saisie maison'!Q28="RSA socle",'Saisie maison'!P28&lt;&gt;"RSA socle"),AND('Saisie maison'!P28="RSA socle",'Saisie maison'!Q28&lt;&gt;"RSA socle")),IF(('Saisie maison'!H28+'Saisie maison'!I28)&gt;4,Ressources!$I$3+Ressources!$J$3*(('Saisie maison'!H28+'Saisie maison'!I28)-4),IF(('Saisie maison'!H28+'Saisie maison'!I28)=1,Ressources!$F$3,IF(('Saisie maison'!H28+'Saisie maison'!I28)=2,Ressources!$G$3,IF(('Saisie maison'!H28+'Saisie maison'!I28)=3,Ressources!$H$3,IF(('Saisie maison'!H28+'Saisie maison'!I28)=4,Ressources!$I$3,0))))))+IF(P28=Ressources!$A$3,Ressources!$B$3,IF(P28=Ressources!$A$5,Ressources!$B$5,IF(P28=Ressources!$A$6,Ressources!$B$6,IF(P28=Ressources!$A$7,Ressources!$B$7,IF(P28=Ressources!$A$8,Ressources!$B$8,IF(P28=Ressources!$A$9,Ressources!$B$9,IF(P28=Ressources!$A$10,Ressources!$B$10,IF(P28=Ressources!$A$11,Ressources!$B$11,0))))))))+IF(Q28=Ressources!$A$3,Ressources!$B$3,IF(Q28=Ressources!$A$5,Ressources!$B$5,IF(Q28=Ressources!$A$6,Ressources!$B$6,IF(Q28=Ressources!$A$7,Ressources!$B$7,IF(Q28=Ressources!$A$8,Ressources!$B$8,IF(Q28=Ressources!$A$9,Ressources!$B$9,IF(Q28=Ressources!$A$10,Ressources!$B$10,IF(Q28=Ressources!$A$11,Ressources!$B$11,0)))))))))</f>
        <v>0</v>
      </c>
      <c r="S28" s="171">
        <f>IF(AND(P28&lt;&gt;0,Q28&lt;&gt;0),IF((H28+I28)&gt;6,Ressources!$H$12+(H28+I28-6)*Ressources!$I$12+('Saisie maison'!H28-2)*Ressources!$I$13,IF((H28+I28)=6,Ressources!$H$12+('Saisie maison'!H28-2)*Ressources!$H$13,IF((H28+I28)=5,Ressources!$G$12+('Saisie maison'!H28-2)*Ressources!$G$13,IF((H28+I28)=4,Ressources!$F$12+('Saisie maison'!H28-2)*Ressources!$F$13,0)))),IF(OR(P28=0,Q28=0),IF((H28+I28)&gt;5,Ressources!$H$12+(H28+I28-5)*Ressources!$I$12+('Saisie maison'!H28-1)*Ressources!$I$13,IF((H28+I28)=5,Ressources!$H$12+('Saisie maison'!H28-1)*Ressources!$H$13,IF((H28+I28)=4,Ressources!$G$12+('Saisie maison'!H28-1)*Ressources!$G$13,IF((H28+I28)=3,Ressources!$F$12+('Saisie maison'!H28-1)*Ressources!$F$13,0))))))</f>
        <v>0</v>
      </c>
      <c r="T28" s="171"/>
      <c r="U28" s="174"/>
    </row>
    <row r="29" spans="1:21" ht="30" hidden="1" customHeight="1" x14ac:dyDescent="0.3">
      <c r="A29" s="172" t="s">
        <v>15</v>
      </c>
      <c r="B29" s="173"/>
      <c r="C29" s="174"/>
      <c r="D29" s="174"/>
      <c r="E29" s="174"/>
      <c r="F29" s="174"/>
      <c r="G29" s="174"/>
      <c r="H29" s="174"/>
      <c r="I29" s="174"/>
      <c r="J29" s="174"/>
      <c r="K29" s="174"/>
      <c r="L29" s="174"/>
      <c r="M29" s="174"/>
      <c r="N29" s="174"/>
      <c r="O29" s="174"/>
      <c r="P29" s="130" t="s">
        <v>336</v>
      </c>
      <c r="Q29" s="174"/>
      <c r="R29" s="171">
        <f>IF(AND('Saisie maison'!Q29="RSA socle",'Saisie maison'!P29="RSA socle"),IF(('Saisie maison'!H29+'Saisie maison'!I29)&gt;5,Ressources!$I$4+Ressources!$J$4*(('Saisie maison'!H29+'Saisie maison'!I29)-5),IF(('Saisie maison'!H29+'Saisie maison'!I29)=2,Ressources!$F$4,IF(('Saisie maison'!H29+'Saisie maison'!I29)=3,Ressources!$G$4,IF(('Saisie maison'!H29+'Saisie maison'!I29)=4,Ressources!$H$4,IF(('Saisie maison'!H29+'Saisie maison'!I29)=5,Ressources!$I$4,0))))), IF(OR(AND('Saisie maison'!Q29="RSA socle",'Saisie maison'!P29&lt;&gt;"RSA socle"),AND('Saisie maison'!P29="RSA socle",'Saisie maison'!Q29&lt;&gt;"RSA socle")),IF(('Saisie maison'!H29+'Saisie maison'!I29)&gt;4,Ressources!$I$3+Ressources!$J$3*(('Saisie maison'!H29+'Saisie maison'!I29)-4),IF(('Saisie maison'!H29+'Saisie maison'!I29)=1,Ressources!$F$3,IF(('Saisie maison'!H29+'Saisie maison'!I29)=2,Ressources!$G$3,IF(('Saisie maison'!H29+'Saisie maison'!I29)=3,Ressources!$H$3,IF(('Saisie maison'!H29+'Saisie maison'!I29)=4,Ressources!$I$3,0))))))+IF(P29=Ressources!$A$3,Ressources!$B$3,IF(P29=Ressources!$A$5,Ressources!$B$5,IF(P29=Ressources!$A$6,Ressources!$B$6,IF(P29=Ressources!$A$7,Ressources!$B$7,IF(P29=Ressources!$A$8,Ressources!$B$8,IF(P29=Ressources!$A$9,Ressources!$B$9,IF(P29=Ressources!$A$10,Ressources!$B$10,IF(P29=Ressources!$A$11,Ressources!$B$11,0))))))))+IF(Q29=Ressources!$A$3,Ressources!$B$3,IF(Q29=Ressources!$A$5,Ressources!$B$5,IF(Q29=Ressources!$A$6,Ressources!$B$6,IF(Q29=Ressources!$A$7,Ressources!$B$7,IF(Q29=Ressources!$A$8,Ressources!$B$8,IF(Q29=Ressources!$A$9,Ressources!$B$9,IF(Q29=Ressources!$A$10,Ressources!$B$10,IF(Q29=Ressources!$A$11,Ressources!$B$11,0)))))))))</f>
        <v>0</v>
      </c>
      <c r="S29" s="171">
        <f>IF(AND(P29&lt;&gt;0,Q29&lt;&gt;0),IF((H29+I29)&gt;6,Ressources!$H$12+(H29+I29-6)*Ressources!$I$12+('Saisie maison'!H29-2)*Ressources!$I$13,IF((H29+I29)=6,Ressources!$H$12+('Saisie maison'!H29-2)*Ressources!$H$13,IF((H29+I29)=5,Ressources!$G$12+('Saisie maison'!H29-2)*Ressources!$G$13,IF((H29+I29)=4,Ressources!$F$12+('Saisie maison'!H29-2)*Ressources!$F$13,0)))),IF(OR(P29=0,Q29=0),IF((H29+I29)&gt;5,Ressources!$H$12+(H29+I29-5)*Ressources!$I$12+('Saisie maison'!H29-1)*Ressources!$I$13,IF((H29+I29)=5,Ressources!$H$12+('Saisie maison'!H29-1)*Ressources!$H$13,IF((H29+I29)=4,Ressources!$G$12+('Saisie maison'!H29-1)*Ressources!$G$13,IF((H29+I29)=3,Ressources!$F$12+('Saisie maison'!H29-1)*Ressources!$F$13,0))))))</f>
        <v>0</v>
      </c>
      <c r="T29" s="171"/>
      <c r="U29" s="174"/>
    </row>
    <row r="30" spans="1:21" ht="30" hidden="1" customHeight="1" x14ac:dyDescent="0.3">
      <c r="A30" s="172" t="s">
        <v>16</v>
      </c>
      <c r="B30" s="173"/>
      <c r="C30" s="174"/>
      <c r="D30" s="174"/>
      <c r="E30" s="174"/>
      <c r="F30" s="174"/>
      <c r="G30" s="174"/>
      <c r="H30" s="174"/>
      <c r="I30" s="174"/>
      <c r="J30" s="174"/>
      <c r="K30" s="174"/>
      <c r="L30" s="174"/>
      <c r="M30" s="174"/>
      <c r="N30" s="174"/>
      <c r="O30" s="174"/>
      <c r="P30" s="130" t="s">
        <v>336</v>
      </c>
      <c r="Q30" s="174"/>
      <c r="R30" s="171">
        <f>IF(AND('Saisie maison'!Q30="RSA socle",'Saisie maison'!P30="RSA socle"),IF(('Saisie maison'!H30+'Saisie maison'!I30)&gt;5,Ressources!$I$4+Ressources!$J$4*(('Saisie maison'!H30+'Saisie maison'!I30)-5),IF(('Saisie maison'!H30+'Saisie maison'!I30)=2,Ressources!$F$4,IF(('Saisie maison'!H30+'Saisie maison'!I30)=3,Ressources!$G$4,IF(('Saisie maison'!H30+'Saisie maison'!I30)=4,Ressources!$H$4,IF(('Saisie maison'!H30+'Saisie maison'!I30)=5,Ressources!$I$4,0))))), IF(OR(AND('Saisie maison'!Q30="RSA socle",'Saisie maison'!P30&lt;&gt;"RSA socle"),AND('Saisie maison'!P30="RSA socle",'Saisie maison'!Q30&lt;&gt;"RSA socle")),IF(('Saisie maison'!H30+'Saisie maison'!I30)&gt;4,Ressources!$I$3+Ressources!$J$3*(('Saisie maison'!H30+'Saisie maison'!I30)-4),IF(('Saisie maison'!H30+'Saisie maison'!I30)=1,Ressources!$F$3,IF(('Saisie maison'!H30+'Saisie maison'!I30)=2,Ressources!$G$3,IF(('Saisie maison'!H30+'Saisie maison'!I30)=3,Ressources!$H$3,IF(('Saisie maison'!H30+'Saisie maison'!I30)=4,Ressources!$I$3,0))))))+IF(P30=Ressources!$A$3,Ressources!$B$3,IF(P30=Ressources!$A$5,Ressources!$B$5,IF(P30=Ressources!$A$6,Ressources!$B$6,IF(P30=Ressources!$A$7,Ressources!$B$7,IF(P30=Ressources!$A$8,Ressources!$B$8,IF(P30=Ressources!$A$9,Ressources!$B$9,IF(P30=Ressources!$A$10,Ressources!$B$10,IF(P30=Ressources!$A$11,Ressources!$B$11,0))))))))+IF(Q30=Ressources!$A$3,Ressources!$B$3,IF(Q30=Ressources!$A$5,Ressources!$B$5,IF(Q30=Ressources!$A$6,Ressources!$B$6,IF(Q30=Ressources!$A$7,Ressources!$B$7,IF(Q30=Ressources!$A$8,Ressources!$B$8,IF(Q30=Ressources!$A$9,Ressources!$B$9,IF(Q30=Ressources!$A$10,Ressources!$B$10,IF(Q30=Ressources!$A$11,Ressources!$B$11,0)))))))))</f>
        <v>0</v>
      </c>
      <c r="S30" s="171">
        <f>IF(AND(P30&lt;&gt;0,Q30&lt;&gt;0),IF((H30+I30)&gt;6,Ressources!$H$12+(H30+I30-6)*Ressources!$I$12+('Saisie maison'!H30-2)*Ressources!$I$13,IF((H30+I30)=6,Ressources!$H$12+('Saisie maison'!H30-2)*Ressources!$H$13,IF((H30+I30)=5,Ressources!$G$12+('Saisie maison'!H30-2)*Ressources!$G$13,IF((H30+I30)=4,Ressources!$F$12+('Saisie maison'!H30-2)*Ressources!$F$13,0)))),IF(OR(P30=0,Q30=0),IF((H30+I30)&gt;5,Ressources!$H$12+(H30+I30-5)*Ressources!$I$12+('Saisie maison'!H30-1)*Ressources!$I$13,IF((H30+I30)=5,Ressources!$H$12+('Saisie maison'!H30-1)*Ressources!$H$13,IF((H30+I30)=4,Ressources!$G$12+('Saisie maison'!H30-1)*Ressources!$G$13,IF((H30+I30)=3,Ressources!$F$12+('Saisie maison'!H30-1)*Ressources!$F$13,0))))))</f>
        <v>0</v>
      </c>
      <c r="T30" s="171"/>
      <c r="U30" s="174"/>
    </row>
    <row r="31" spans="1:21" ht="30" hidden="1" customHeight="1" x14ac:dyDescent="0.3">
      <c r="A31" s="172" t="s">
        <v>17</v>
      </c>
      <c r="B31" s="173"/>
      <c r="C31" s="174"/>
      <c r="D31" s="174"/>
      <c r="E31" s="174"/>
      <c r="F31" s="174"/>
      <c r="G31" s="174"/>
      <c r="H31" s="174"/>
      <c r="I31" s="174"/>
      <c r="J31" s="174"/>
      <c r="K31" s="174"/>
      <c r="L31" s="174"/>
      <c r="M31" s="174"/>
      <c r="N31" s="174"/>
      <c r="O31" s="174"/>
      <c r="P31" s="130" t="s">
        <v>336</v>
      </c>
      <c r="Q31" s="174"/>
      <c r="R31" s="171">
        <f>IF(AND('Saisie maison'!Q31="RSA socle",'Saisie maison'!P31="RSA socle"),IF(('Saisie maison'!H31+'Saisie maison'!I31)&gt;5,Ressources!$I$4+Ressources!$J$4*(('Saisie maison'!H31+'Saisie maison'!I31)-5),IF(('Saisie maison'!H31+'Saisie maison'!I31)=2,Ressources!$F$4,IF(('Saisie maison'!H31+'Saisie maison'!I31)=3,Ressources!$G$4,IF(('Saisie maison'!H31+'Saisie maison'!I31)=4,Ressources!$H$4,IF(('Saisie maison'!H31+'Saisie maison'!I31)=5,Ressources!$I$4,0))))), IF(OR(AND('Saisie maison'!Q31="RSA socle",'Saisie maison'!P31&lt;&gt;"RSA socle"),AND('Saisie maison'!P31="RSA socle",'Saisie maison'!Q31&lt;&gt;"RSA socle")),IF(('Saisie maison'!H31+'Saisie maison'!I31)&gt;4,Ressources!$I$3+Ressources!$J$3*(('Saisie maison'!H31+'Saisie maison'!I31)-4),IF(('Saisie maison'!H31+'Saisie maison'!I31)=1,Ressources!$F$3,IF(('Saisie maison'!H31+'Saisie maison'!I31)=2,Ressources!$G$3,IF(('Saisie maison'!H31+'Saisie maison'!I31)=3,Ressources!$H$3,IF(('Saisie maison'!H31+'Saisie maison'!I31)=4,Ressources!$I$3,0))))))+IF(P31=Ressources!$A$3,Ressources!$B$3,IF(P31=Ressources!$A$5,Ressources!$B$5,IF(P31=Ressources!$A$6,Ressources!$B$6,IF(P31=Ressources!$A$7,Ressources!$B$7,IF(P31=Ressources!$A$8,Ressources!$B$8,IF(P31=Ressources!$A$9,Ressources!$B$9,IF(P31=Ressources!$A$10,Ressources!$B$10,IF(P31=Ressources!$A$11,Ressources!$B$11,0))))))))+IF(Q31=Ressources!$A$3,Ressources!$B$3,IF(Q31=Ressources!$A$5,Ressources!$B$5,IF(Q31=Ressources!$A$6,Ressources!$B$6,IF(Q31=Ressources!$A$7,Ressources!$B$7,IF(Q31=Ressources!$A$8,Ressources!$B$8,IF(Q31=Ressources!$A$9,Ressources!$B$9,IF(Q31=Ressources!$A$10,Ressources!$B$10,IF(Q31=Ressources!$A$11,Ressources!$B$11,0)))))))))</f>
        <v>0</v>
      </c>
      <c r="S31" s="171">
        <f>IF(AND(P31&lt;&gt;0,Q31&lt;&gt;0),IF((H31+I31)&gt;6,Ressources!$H$12+(H31+I31-6)*Ressources!$I$12+('Saisie maison'!H31-2)*Ressources!$I$13,IF((H31+I31)=6,Ressources!$H$12+('Saisie maison'!H31-2)*Ressources!$H$13,IF((H31+I31)=5,Ressources!$G$12+('Saisie maison'!H31-2)*Ressources!$G$13,IF((H31+I31)=4,Ressources!$F$12+('Saisie maison'!H31-2)*Ressources!$F$13,0)))),IF(OR(P31=0,Q31=0),IF((H31+I31)&gt;5,Ressources!$H$12+(H31+I31-5)*Ressources!$I$12+('Saisie maison'!H31-1)*Ressources!$I$13,IF((H31+I31)=5,Ressources!$H$12+('Saisie maison'!H31-1)*Ressources!$H$13,IF((H31+I31)=4,Ressources!$G$12+('Saisie maison'!H31-1)*Ressources!$G$13,IF((H31+I31)=3,Ressources!$F$12+('Saisie maison'!H31-1)*Ressources!$F$13,0))))))</f>
        <v>0</v>
      </c>
      <c r="T31" s="171"/>
      <c r="U31" s="174"/>
    </row>
    <row r="32" spans="1:21" ht="30" hidden="1" customHeight="1" x14ac:dyDescent="0.3">
      <c r="A32" s="172" t="s">
        <v>18</v>
      </c>
      <c r="B32" s="173"/>
      <c r="C32" s="174"/>
      <c r="D32" s="174"/>
      <c r="E32" s="174"/>
      <c r="F32" s="174"/>
      <c r="G32" s="174"/>
      <c r="H32" s="174"/>
      <c r="I32" s="174"/>
      <c r="J32" s="174"/>
      <c r="K32" s="174"/>
      <c r="L32" s="174"/>
      <c r="M32" s="174"/>
      <c r="N32" s="174"/>
      <c r="O32" s="174"/>
      <c r="P32" s="130" t="s">
        <v>336</v>
      </c>
      <c r="Q32" s="174"/>
      <c r="R32" s="171">
        <f>IF(AND('Saisie maison'!Q32="RSA socle",'Saisie maison'!P32="RSA socle"),IF(('Saisie maison'!H32+'Saisie maison'!I32)&gt;5,Ressources!$I$4+Ressources!$J$4*(('Saisie maison'!H32+'Saisie maison'!I32)-5),IF(('Saisie maison'!H32+'Saisie maison'!I32)=2,Ressources!$F$4,IF(('Saisie maison'!H32+'Saisie maison'!I32)=3,Ressources!$G$4,IF(('Saisie maison'!H32+'Saisie maison'!I32)=4,Ressources!$H$4,IF(('Saisie maison'!H32+'Saisie maison'!I32)=5,Ressources!$I$4,0))))), IF(OR(AND('Saisie maison'!Q32="RSA socle",'Saisie maison'!P32&lt;&gt;"RSA socle"),AND('Saisie maison'!P32="RSA socle",'Saisie maison'!Q32&lt;&gt;"RSA socle")),IF(('Saisie maison'!H32+'Saisie maison'!I32)&gt;4,Ressources!$I$3+Ressources!$J$3*(('Saisie maison'!H32+'Saisie maison'!I32)-4),IF(('Saisie maison'!H32+'Saisie maison'!I32)=1,Ressources!$F$3,IF(('Saisie maison'!H32+'Saisie maison'!I32)=2,Ressources!$G$3,IF(('Saisie maison'!H32+'Saisie maison'!I32)=3,Ressources!$H$3,IF(('Saisie maison'!H32+'Saisie maison'!I32)=4,Ressources!$I$3,0))))))+IF(P32=Ressources!$A$3,Ressources!$B$3,IF(P32=Ressources!$A$5,Ressources!$B$5,IF(P32=Ressources!$A$6,Ressources!$B$6,IF(P32=Ressources!$A$7,Ressources!$B$7,IF(P32=Ressources!$A$8,Ressources!$B$8,IF(P32=Ressources!$A$9,Ressources!$B$9,IF(P32=Ressources!$A$10,Ressources!$B$10,IF(P32=Ressources!$A$11,Ressources!$B$11,0))))))))+IF(Q32=Ressources!$A$3,Ressources!$B$3,IF(Q32=Ressources!$A$5,Ressources!$B$5,IF(Q32=Ressources!$A$6,Ressources!$B$6,IF(Q32=Ressources!$A$7,Ressources!$B$7,IF(Q32=Ressources!$A$8,Ressources!$B$8,IF(Q32=Ressources!$A$9,Ressources!$B$9,IF(Q32=Ressources!$A$10,Ressources!$B$10,IF(Q32=Ressources!$A$11,Ressources!$B$11,0)))))))))</f>
        <v>0</v>
      </c>
      <c r="S32" s="171">
        <f>IF(AND(P32&lt;&gt;0,Q32&lt;&gt;0),IF((H32+I32)&gt;6,Ressources!$H$12+(H32+I32-6)*Ressources!$I$12+('Saisie maison'!H32-2)*Ressources!$I$13,IF((H32+I32)=6,Ressources!$H$12+('Saisie maison'!H32-2)*Ressources!$H$13,IF((H32+I32)=5,Ressources!$G$12+('Saisie maison'!H32-2)*Ressources!$G$13,IF((H32+I32)=4,Ressources!$F$12+('Saisie maison'!H32-2)*Ressources!$F$13,0)))),IF(OR(P32=0,Q32=0),IF((H32+I32)&gt;5,Ressources!$H$12+(H32+I32-5)*Ressources!$I$12+('Saisie maison'!H32-1)*Ressources!$I$13,IF((H32+I32)=5,Ressources!$H$12+('Saisie maison'!H32-1)*Ressources!$H$13,IF((H32+I32)=4,Ressources!$G$12+('Saisie maison'!H32-1)*Ressources!$G$13,IF((H32+I32)=3,Ressources!$F$12+('Saisie maison'!H32-1)*Ressources!$F$13,0))))))</f>
        <v>0</v>
      </c>
      <c r="T32" s="171"/>
      <c r="U32" s="174"/>
    </row>
    <row r="33" spans="1:21" ht="30" hidden="1" customHeight="1" x14ac:dyDescent="0.3">
      <c r="A33" s="172" t="s">
        <v>19</v>
      </c>
      <c r="B33" s="173"/>
      <c r="C33" s="174"/>
      <c r="D33" s="174"/>
      <c r="E33" s="174"/>
      <c r="F33" s="174"/>
      <c r="G33" s="174"/>
      <c r="H33" s="174"/>
      <c r="I33" s="174"/>
      <c r="J33" s="174"/>
      <c r="K33" s="174"/>
      <c r="L33" s="174"/>
      <c r="M33" s="174"/>
      <c r="N33" s="174"/>
      <c r="O33" s="174"/>
      <c r="P33" s="130" t="s">
        <v>336</v>
      </c>
      <c r="Q33" s="174"/>
      <c r="R33" s="171">
        <f>IF(AND('Saisie maison'!Q33="RSA socle",'Saisie maison'!P33="RSA socle"),IF(('Saisie maison'!H33+'Saisie maison'!I33)&gt;5,Ressources!$I$4+Ressources!$J$4*(('Saisie maison'!H33+'Saisie maison'!I33)-5),IF(('Saisie maison'!H33+'Saisie maison'!I33)=2,Ressources!$F$4,IF(('Saisie maison'!H33+'Saisie maison'!I33)=3,Ressources!$G$4,IF(('Saisie maison'!H33+'Saisie maison'!I33)=4,Ressources!$H$4,IF(('Saisie maison'!H33+'Saisie maison'!I33)=5,Ressources!$I$4,0))))), IF(OR(AND('Saisie maison'!Q33="RSA socle",'Saisie maison'!P33&lt;&gt;"RSA socle"),AND('Saisie maison'!P33="RSA socle",'Saisie maison'!Q33&lt;&gt;"RSA socle")),IF(('Saisie maison'!H33+'Saisie maison'!I33)&gt;4,Ressources!$I$3+Ressources!$J$3*(('Saisie maison'!H33+'Saisie maison'!I33)-4),IF(('Saisie maison'!H33+'Saisie maison'!I33)=1,Ressources!$F$3,IF(('Saisie maison'!H33+'Saisie maison'!I33)=2,Ressources!$G$3,IF(('Saisie maison'!H33+'Saisie maison'!I33)=3,Ressources!$H$3,IF(('Saisie maison'!H33+'Saisie maison'!I33)=4,Ressources!$I$3,0))))))+IF(P33=Ressources!$A$3,Ressources!$B$3,IF(P33=Ressources!$A$5,Ressources!$B$5,IF(P33=Ressources!$A$6,Ressources!$B$6,IF(P33=Ressources!$A$7,Ressources!$B$7,IF(P33=Ressources!$A$8,Ressources!$B$8,IF(P33=Ressources!$A$9,Ressources!$B$9,IF(P33=Ressources!$A$10,Ressources!$B$10,IF(P33=Ressources!$A$11,Ressources!$B$11,0))))))))+IF(Q33=Ressources!$A$3,Ressources!$B$3,IF(Q33=Ressources!$A$5,Ressources!$B$5,IF(Q33=Ressources!$A$6,Ressources!$B$6,IF(Q33=Ressources!$A$7,Ressources!$B$7,IF(Q33=Ressources!$A$8,Ressources!$B$8,IF(Q33=Ressources!$A$9,Ressources!$B$9,IF(Q33=Ressources!$A$10,Ressources!$B$10,IF(Q33=Ressources!$A$11,Ressources!$B$11,0)))))))))</f>
        <v>0</v>
      </c>
      <c r="S33" s="171">
        <f>IF(AND(P33&lt;&gt;0,Q33&lt;&gt;0),IF((H33+I33)&gt;6,Ressources!$H$12+(H33+I33-6)*Ressources!$I$12+('Saisie maison'!H33-2)*Ressources!$I$13,IF((H33+I33)=6,Ressources!$H$12+('Saisie maison'!H33-2)*Ressources!$H$13,IF((H33+I33)=5,Ressources!$G$12+('Saisie maison'!H33-2)*Ressources!$G$13,IF((H33+I33)=4,Ressources!$F$12+('Saisie maison'!H33-2)*Ressources!$F$13,0)))),IF(OR(P33=0,Q33=0),IF((H33+I33)&gt;5,Ressources!$H$12+(H33+I33-5)*Ressources!$I$12+('Saisie maison'!H33-1)*Ressources!$I$13,IF((H33+I33)=5,Ressources!$H$12+('Saisie maison'!H33-1)*Ressources!$H$13,IF((H33+I33)=4,Ressources!$G$12+('Saisie maison'!H33-1)*Ressources!$G$13,IF((H33+I33)=3,Ressources!$F$12+('Saisie maison'!H33-1)*Ressources!$F$13,0))))))</f>
        <v>0</v>
      </c>
      <c r="T33" s="171"/>
      <c r="U33" s="174"/>
    </row>
    <row r="34" spans="1:21" ht="30" hidden="1" customHeight="1" x14ac:dyDescent="0.3">
      <c r="A34" s="172" t="s">
        <v>20</v>
      </c>
      <c r="B34" s="173"/>
      <c r="C34" s="174"/>
      <c r="D34" s="174"/>
      <c r="E34" s="174"/>
      <c r="F34" s="174"/>
      <c r="G34" s="174"/>
      <c r="H34" s="174"/>
      <c r="I34" s="174"/>
      <c r="J34" s="174"/>
      <c r="K34" s="174"/>
      <c r="L34" s="174"/>
      <c r="M34" s="174"/>
      <c r="N34" s="174"/>
      <c r="O34" s="174"/>
      <c r="P34" s="130" t="s">
        <v>336</v>
      </c>
      <c r="Q34" s="174"/>
      <c r="R34" s="171">
        <f>IF(AND('Saisie maison'!Q34="RSA socle",'Saisie maison'!P34="RSA socle"),IF(('Saisie maison'!H34+'Saisie maison'!I34)&gt;5,Ressources!$I$4+Ressources!$J$4*(('Saisie maison'!H34+'Saisie maison'!I34)-5),IF(('Saisie maison'!H34+'Saisie maison'!I34)=2,Ressources!$F$4,IF(('Saisie maison'!H34+'Saisie maison'!I34)=3,Ressources!$G$4,IF(('Saisie maison'!H34+'Saisie maison'!I34)=4,Ressources!$H$4,IF(('Saisie maison'!H34+'Saisie maison'!I34)=5,Ressources!$I$4,0))))), IF(OR(AND('Saisie maison'!Q34="RSA socle",'Saisie maison'!P34&lt;&gt;"RSA socle"),AND('Saisie maison'!P34="RSA socle",'Saisie maison'!Q34&lt;&gt;"RSA socle")),IF(('Saisie maison'!H34+'Saisie maison'!I34)&gt;4,Ressources!$I$3+Ressources!$J$3*(('Saisie maison'!H34+'Saisie maison'!I34)-4),IF(('Saisie maison'!H34+'Saisie maison'!I34)=1,Ressources!$F$3,IF(('Saisie maison'!H34+'Saisie maison'!I34)=2,Ressources!$G$3,IF(('Saisie maison'!H34+'Saisie maison'!I34)=3,Ressources!$H$3,IF(('Saisie maison'!H34+'Saisie maison'!I34)=4,Ressources!$I$3,0))))))+IF(P34=Ressources!$A$3,Ressources!$B$3,IF(P34=Ressources!$A$5,Ressources!$B$5,IF(P34=Ressources!$A$6,Ressources!$B$6,IF(P34=Ressources!$A$7,Ressources!$B$7,IF(P34=Ressources!$A$8,Ressources!$B$8,IF(P34=Ressources!$A$9,Ressources!$B$9,IF(P34=Ressources!$A$10,Ressources!$B$10,IF(P34=Ressources!$A$11,Ressources!$B$11,0))))))))+IF(Q34=Ressources!$A$3,Ressources!$B$3,IF(Q34=Ressources!$A$5,Ressources!$B$5,IF(Q34=Ressources!$A$6,Ressources!$B$6,IF(Q34=Ressources!$A$7,Ressources!$B$7,IF(Q34=Ressources!$A$8,Ressources!$B$8,IF(Q34=Ressources!$A$9,Ressources!$B$9,IF(Q34=Ressources!$A$10,Ressources!$B$10,IF(Q34=Ressources!$A$11,Ressources!$B$11,0)))))))))</f>
        <v>0</v>
      </c>
      <c r="S34" s="171">
        <f>IF(AND(P34&lt;&gt;0,Q34&lt;&gt;0),IF((H34+I34)&gt;6,Ressources!$H$12+(H34+I34-6)*Ressources!$I$12+('Saisie maison'!H34-2)*Ressources!$I$13,IF((H34+I34)=6,Ressources!$H$12+('Saisie maison'!H34-2)*Ressources!$H$13,IF((H34+I34)=5,Ressources!$G$12+('Saisie maison'!H34-2)*Ressources!$G$13,IF((H34+I34)=4,Ressources!$F$12+('Saisie maison'!H34-2)*Ressources!$F$13,0)))),IF(OR(P34=0,Q34=0),IF((H34+I34)&gt;5,Ressources!$H$12+(H34+I34-5)*Ressources!$I$12+('Saisie maison'!H34-1)*Ressources!$I$13,IF((H34+I34)=5,Ressources!$H$12+('Saisie maison'!H34-1)*Ressources!$H$13,IF((H34+I34)=4,Ressources!$G$12+('Saisie maison'!H34-1)*Ressources!$G$13,IF((H34+I34)=3,Ressources!$F$12+('Saisie maison'!H34-1)*Ressources!$F$13,0))))))</f>
        <v>0</v>
      </c>
      <c r="T34" s="171"/>
      <c r="U34" s="174"/>
    </row>
    <row r="35" spans="1:21" ht="30" hidden="1" customHeight="1" x14ac:dyDescent="0.3">
      <c r="A35" s="172" t="s">
        <v>21</v>
      </c>
      <c r="B35" s="173"/>
      <c r="C35" s="174"/>
      <c r="D35" s="174"/>
      <c r="E35" s="174"/>
      <c r="F35" s="174"/>
      <c r="G35" s="174"/>
      <c r="H35" s="174"/>
      <c r="I35" s="174"/>
      <c r="J35" s="174"/>
      <c r="K35" s="174"/>
      <c r="L35" s="174"/>
      <c r="M35" s="174"/>
      <c r="N35" s="174"/>
      <c r="O35" s="174"/>
      <c r="P35" s="130" t="s">
        <v>336</v>
      </c>
      <c r="Q35" s="174"/>
      <c r="R35" s="171">
        <f>IF(AND('Saisie maison'!Q35="RSA socle",'Saisie maison'!P35="RSA socle"),IF(('Saisie maison'!H35+'Saisie maison'!I35)&gt;5,Ressources!$I$4+Ressources!$J$4*(('Saisie maison'!H35+'Saisie maison'!I35)-5),IF(('Saisie maison'!H35+'Saisie maison'!I35)=2,Ressources!$F$4,IF(('Saisie maison'!H35+'Saisie maison'!I35)=3,Ressources!$G$4,IF(('Saisie maison'!H35+'Saisie maison'!I35)=4,Ressources!$H$4,IF(('Saisie maison'!H35+'Saisie maison'!I35)=5,Ressources!$I$4,0))))), IF(OR(AND('Saisie maison'!Q35="RSA socle",'Saisie maison'!P35&lt;&gt;"RSA socle"),AND('Saisie maison'!P35="RSA socle",'Saisie maison'!Q35&lt;&gt;"RSA socle")),IF(('Saisie maison'!H35+'Saisie maison'!I35)&gt;4,Ressources!$I$3+Ressources!$J$3*(('Saisie maison'!H35+'Saisie maison'!I35)-4),IF(('Saisie maison'!H35+'Saisie maison'!I35)=1,Ressources!$F$3,IF(('Saisie maison'!H35+'Saisie maison'!I35)=2,Ressources!$G$3,IF(('Saisie maison'!H35+'Saisie maison'!I35)=3,Ressources!$H$3,IF(('Saisie maison'!H35+'Saisie maison'!I35)=4,Ressources!$I$3,0))))))+IF(P35=Ressources!$A$3,Ressources!$B$3,IF(P35=Ressources!$A$5,Ressources!$B$5,IF(P35=Ressources!$A$6,Ressources!$B$6,IF(P35=Ressources!$A$7,Ressources!$B$7,IF(P35=Ressources!$A$8,Ressources!$B$8,IF(P35=Ressources!$A$9,Ressources!$B$9,IF(P35=Ressources!$A$10,Ressources!$B$10,IF(P35=Ressources!$A$11,Ressources!$B$11,0))))))))+IF(Q35=Ressources!$A$3,Ressources!$B$3,IF(Q35=Ressources!$A$5,Ressources!$B$5,IF(Q35=Ressources!$A$6,Ressources!$B$6,IF(Q35=Ressources!$A$7,Ressources!$B$7,IF(Q35=Ressources!$A$8,Ressources!$B$8,IF(Q35=Ressources!$A$9,Ressources!$B$9,IF(Q35=Ressources!$A$10,Ressources!$B$10,IF(Q35=Ressources!$A$11,Ressources!$B$11,0)))))))))</f>
        <v>0</v>
      </c>
      <c r="S35" s="171">
        <f>IF(AND(P35&lt;&gt;0,Q35&lt;&gt;0),IF((H35+I35)&gt;6,Ressources!$H$12+(H35+I35-6)*Ressources!$I$12+('Saisie maison'!H35-2)*Ressources!$I$13,IF((H35+I35)=6,Ressources!$H$12+('Saisie maison'!H35-2)*Ressources!$H$13,IF((H35+I35)=5,Ressources!$G$12+('Saisie maison'!H35-2)*Ressources!$G$13,IF((H35+I35)=4,Ressources!$F$12+('Saisie maison'!H35-2)*Ressources!$F$13,0)))),IF(OR(P35=0,Q35=0),IF((H35+I35)&gt;5,Ressources!$H$12+(H35+I35-5)*Ressources!$I$12+('Saisie maison'!H35-1)*Ressources!$I$13,IF((H35+I35)=5,Ressources!$H$12+('Saisie maison'!H35-1)*Ressources!$H$13,IF((H35+I35)=4,Ressources!$G$12+('Saisie maison'!H35-1)*Ressources!$G$13,IF((H35+I35)=3,Ressources!$F$12+('Saisie maison'!H35-1)*Ressources!$F$13,0))))))</f>
        <v>0</v>
      </c>
      <c r="T35" s="171"/>
      <c r="U35" s="174"/>
    </row>
    <row r="36" spans="1:21" ht="30" hidden="1" customHeight="1" x14ac:dyDescent="0.3">
      <c r="A36" s="172" t="s">
        <v>22</v>
      </c>
      <c r="B36" s="173"/>
      <c r="C36" s="174"/>
      <c r="D36" s="174"/>
      <c r="E36" s="174"/>
      <c r="F36" s="174"/>
      <c r="G36" s="174"/>
      <c r="H36" s="174"/>
      <c r="I36" s="174"/>
      <c r="J36" s="174"/>
      <c r="K36" s="174"/>
      <c r="L36" s="174"/>
      <c r="M36" s="174"/>
      <c r="N36" s="174"/>
      <c r="O36" s="174"/>
      <c r="P36" s="130" t="s">
        <v>336</v>
      </c>
      <c r="Q36" s="174"/>
      <c r="R36" s="171">
        <f>IF(AND('Saisie maison'!Q36="RSA socle",'Saisie maison'!P36="RSA socle"),IF(('Saisie maison'!H36+'Saisie maison'!I36)&gt;5,Ressources!$I$4+Ressources!$J$4*(('Saisie maison'!H36+'Saisie maison'!I36)-5),IF(('Saisie maison'!H36+'Saisie maison'!I36)=2,Ressources!$F$4,IF(('Saisie maison'!H36+'Saisie maison'!I36)=3,Ressources!$G$4,IF(('Saisie maison'!H36+'Saisie maison'!I36)=4,Ressources!$H$4,IF(('Saisie maison'!H36+'Saisie maison'!I36)=5,Ressources!$I$4,0))))), IF(OR(AND('Saisie maison'!Q36="RSA socle",'Saisie maison'!P36&lt;&gt;"RSA socle"),AND('Saisie maison'!P36="RSA socle",'Saisie maison'!Q36&lt;&gt;"RSA socle")),IF(('Saisie maison'!H36+'Saisie maison'!I36)&gt;4,Ressources!$I$3+Ressources!$J$3*(('Saisie maison'!H36+'Saisie maison'!I36)-4),IF(('Saisie maison'!H36+'Saisie maison'!I36)=1,Ressources!$F$3,IF(('Saisie maison'!H36+'Saisie maison'!I36)=2,Ressources!$G$3,IF(('Saisie maison'!H36+'Saisie maison'!I36)=3,Ressources!$H$3,IF(('Saisie maison'!H36+'Saisie maison'!I36)=4,Ressources!$I$3,0))))))+IF(P36=Ressources!$A$3,Ressources!$B$3,IF(P36=Ressources!$A$5,Ressources!$B$5,IF(P36=Ressources!$A$6,Ressources!$B$6,IF(P36=Ressources!$A$7,Ressources!$B$7,IF(P36=Ressources!$A$8,Ressources!$B$8,IF(P36=Ressources!$A$9,Ressources!$B$9,IF(P36=Ressources!$A$10,Ressources!$B$10,IF(P36=Ressources!$A$11,Ressources!$B$11,0))))))))+IF(Q36=Ressources!$A$3,Ressources!$B$3,IF(Q36=Ressources!$A$5,Ressources!$B$5,IF(Q36=Ressources!$A$6,Ressources!$B$6,IF(Q36=Ressources!$A$7,Ressources!$B$7,IF(Q36=Ressources!$A$8,Ressources!$B$8,IF(Q36=Ressources!$A$9,Ressources!$B$9,IF(Q36=Ressources!$A$10,Ressources!$B$10,IF(Q36=Ressources!$A$11,Ressources!$B$11,0)))))))))</f>
        <v>0</v>
      </c>
      <c r="S36" s="171">
        <f>IF(AND(P36&lt;&gt;0,Q36&lt;&gt;0),IF((H36+I36)&gt;6,Ressources!$H$12+(H36+I36-6)*Ressources!$I$12+('Saisie maison'!H36-2)*Ressources!$I$13,IF((H36+I36)=6,Ressources!$H$12+('Saisie maison'!H36-2)*Ressources!$H$13,IF((H36+I36)=5,Ressources!$G$12+('Saisie maison'!H36-2)*Ressources!$G$13,IF((H36+I36)=4,Ressources!$F$12+('Saisie maison'!H36-2)*Ressources!$F$13,0)))),IF(OR(P36=0,Q36=0),IF((H36+I36)&gt;5,Ressources!$H$12+(H36+I36-5)*Ressources!$I$12+('Saisie maison'!H36-1)*Ressources!$I$13,IF((H36+I36)=5,Ressources!$H$12+('Saisie maison'!H36-1)*Ressources!$H$13,IF((H36+I36)=4,Ressources!$G$12+('Saisie maison'!H36-1)*Ressources!$G$13,IF((H36+I36)=3,Ressources!$F$12+('Saisie maison'!H36-1)*Ressources!$F$13,0))))))</f>
        <v>0</v>
      </c>
      <c r="T36" s="171"/>
      <c r="U36" s="174"/>
    </row>
    <row r="37" spans="1:21" ht="30" hidden="1" customHeight="1" x14ac:dyDescent="0.3">
      <c r="A37" s="172" t="s">
        <v>23</v>
      </c>
      <c r="B37" s="173"/>
      <c r="C37" s="174"/>
      <c r="D37" s="174"/>
      <c r="E37" s="174"/>
      <c r="F37" s="174"/>
      <c r="G37" s="174"/>
      <c r="H37" s="174"/>
      <c r="I37" s="174"/>
      <c r="J37" s="174"/>
      <c r="K37" s="174"/>
      <c r="L37" s="174"/>
      <c r="M37" s="174"/>
      <c r="N37" s="174"/>
      <c r="O37" s="174"/>
      <c r="P37" s="130" t="s">
        <v>336</v>
      </c>
      <c r="Q37" s="174"/>
      <c r="R37" s="171">
        <f>IF(AND('Saisie maison'!Q37="RSA socle",'Saisie maison'!P37="RSA socle"),IF(('Saisie maison'!H37+'Saisie maison'!I37)&gt;5,Ressources!$I$4+Ressources!$J$4*(('Saisie maison'!H37+'Saisie maison'!I37)-5),IF(('Saisie maison'!H37+'Saisie maison'!I37)=2,Ressources!$F$4,IF(('Saisie maison'!H37+'Saisie maison'!I37)=3,Ressources!$G$4,IF(('Saisie maison'!H37+'Saisie maison'!I37)=4,Ressources!$H$4,IF(('Saisie maison'!H37+'Saisie maison'!I37)=5,Ressources!$I$4,0))))), IF(OR(AND('Saisie maison'!Q37="RSA socle",'Saisie maison'!P37&lt;&gt;"RSA socle"),AND('Saisie maison'!P37="RSA socle",'Saisie maison'!Q37&lt;&gt;"RSA socle")),IF(('Saisie maison'!H37+'Saisie maison'!I37)&gt;4,Ressources!$I$3+Ressources!$J$3*(('Saisie maison'!H37+'Saisie maison'!I37)-4),IF(('Saisie maison'!H37+'Saisie maison'!I37)=1,Ressources!$F$3,IF(('Saisie maison'!H37+'Saisie maison'!I37)=2,Ressources!$G$3,IF(('Saisie maison'!H37+'Saisie maison'!I37)=3,Ressources!$H$3,IF(('Saisie maison'!H37+'Saisie maison'!I37)=4,Ressources!$I$3,0))))))+IF(P37=Ressources!$A$3,Ressources!$B$3,IF(P37=Ressources!$A$5,Ressources!$B$5,IF(P37=Ressources!$A$6,Ressources!$B$6,IF(P37=Ressources!$A$7,Ressources!$B$7,IF(P37=Ressources!$A$8,Ressources!$B$8,IF(P37=Ressources!$A$9,Ressources!$B$9,IF(P37=Ressources!$A$10,Ressources!$B$10,IF(P37=Ressources!$A$11,Ressources!$B$11,0))))))))+IF(Q37=Ressources!$A$3,Ressources!$B$3,IF(Q37=Ressources!$A$5,Ressources!$B$5,IF(Q37=Ressources!$A$6,Ressources!$B$6,IF(Q37=Ressources!$A$7,Ressources!$B$7,IF(Q37=Ressources!$A$8,Ressources!$B$8,IF(Q37=Ressources!$A$9,Ressources!$B$9,IF(Q37=Ressources!$A$10,Ressources!$B$10,IF(Q37=Ressources!$A$11,Ressources!$B$11,0)))))))))</f>
        <v>0</v>
      </c>
      <c r="S37" s="171">
        <f>IF(AND(P37&lt;&gt;0,Q37&lt;&gt;0),IF((H37+I37)&gt;6,Ressources!$H$12+(H37+I37-6)*Ressources!$I$12+('Saisie maison'!H37-2)*Ressources!$I$13,IF((H37+I37)=6,Ressources!$H$12+('Saisie maison'!H37-2)*Ressources!$H$13,IF((H37+I37)=5,Ressources!$G$12+('Saisie maison'!H37-2)*Ressources!$G$13,IF((H37+I37)=4,Ressources!$F$12+('Saisie maison'!H37-2)*Ressources!$F$13,0)))),IF(OR(P37=0,Q37=0),IF((H37+I37)&gt;5,Ressources!$H$12+(H37+I37-5)*Ressources!$I$12+('Saisie maison'!H37-1)*Ressources!$I$13,IF((H37+I37)=5,Ressources!$H$12+('Saisie maison'!H37-1)*Ressources!$H$13,IF((H37+I37)=4,Ressources!$G$12+('Saisie maison'!H37-1)*Ressources!$G$13,IF((H37+I37)=3,Ressources!$F$12+('Saisie maison'!H37-1)*Ressources!$F$13,0))))))</f>
        <v>0</v>
      </c>
      <c r="T37" s="171"/>
      <c r="U37" s="174"/>
    </row>
    <row r="38" spans="1:21" ht="30" hidden="1" customHeight="1" x14ac:dyDescent="0.3">
      <c r="A38" s="172" t="s">
        <v>24</v>
      </c>
      <c r="B38" s="173"/>
      <c r="C38" s="174"/>
      <c r="D38" s="174"/>
      <c r="E38" s="174"/>
      <c r="F38" s="174"/>
      <c r="G38" s="174"/>
      <c r="H38" s="174"/>
      <c r="I38" s="174"/>
      <c r="J38" s="174"/>
      <c r="K38" s="174"/>
      <c r="L38" s="174"/>
      <c r="M38" s="174"/>
      <c r="N38" s="174"/>
      <c r="O38" s="174"/>
      <c r="P38" s="130" t="s">
        <v>336</v>
      </c>
      <c r="Q38" s="174"/>
      <c r="R38" s="171">
        <f>IF(AND('Saisie maison'!Q38="RSA socle",'Saisie maison'!P38="RSA socle"),IF(('Saisie maison'!H38+'Saisie maison'!I38)&gt;5,Ressources!$I$4+Ressources!$J$4*(('Saisie maison'!H38+'Saisie maison'!I38)-5),IF(('Saisie maison'!H38+'Saisie maison'!I38)=2,Ressources!$F$4,IF(('Saisie maison'!H38+'Saisie maison'!I38)=3,Ressources!$G$4,IF(('Saisie maison'!H38+'Saisie maison'!I38)=4,Ressources!$H$4,IF(('Saisie maison'!H38+'Saisie maison'!I38)=5,Ressources!$I$4,0))))), IF(OR(AND('Saisie maison'!Q38="RSA socle",'Saisie maison'!P38&lt;&gt;"RSA socle"),AND('Saisie maison'!P38="RSA socle",'Saisie maison'!Q38&lt;&gt;"RSA socle")),IF(('Saisie maison'!H38+'Saisie maison'!I38)&gt;4,Ressources!$I$3+Ressources!$J$3*(('Saisie maison'!H38+'Saisie maison'!I38)-4),IF(('Saisie maison'!H38+'Saisie maison'!I38)=1,Ressources!$F$3,IF(('Saisie maison'!H38+'Saisie maison'!I38)=2,Ressources!$G$3,IF(('Saisie maison'!H38+'Saisie maison'!I38)=3,Ressources!$H$3,IF(('Saisie maison'!H38+'Saisie maison'!I38)=4,Ressources!$I$3,0))))))+IF(P38=Ressources!$A$3,Ressources!$B$3,IF(P38=Ressources!$A$5,Ressources!$B$5,IF(P38=Ressources!$A$6,Ressources!$B$6,IF(P38=Ressources!$A$7,Ressources!$B$7,IF(P38=Ressources!$A$8,Ressources!$B$8,IF(P38=Ressources!$A$9,Ressources!$B$9,IF(P38=Ressources!$A$10,Ressources!$B$10,IF(P38=Ressources!$A$11,Ressources!$B$11,0))))))))+IF(Q38=Ressources!$A$3,Ressources!$B$3,IF(Q38=Ressources!$A$5,Ressources!$B$5,IF(Q38=Ressources!$A$6,Ressources!$B$6,IF(Q38=Ressources!$A$7,Ressources!$B$7,IF(Q38=Ressources!$A$8,Ressources!$B$8,IF(Q38=Ressources!$A$9,Ressources!$B$9,IF(Q38=Ressources!$A$10,Ressources!$B$10,IF(Q38=Ressources!$A$11,Ressources!$B$11,0)))))))))</f>
        <v>0</v>
      </c>
      <c r="S38" s="171">
        <f>IF(AND(P38&lt;&gt;0,Q38&lt;&gt;0),IF((H38+I38)&gt;6,Ressources!$H$12+(H38+I38-6)*Ressources!$I$12+('Saisie maison'!H38-2)*Ressources!$I$13,IF((H38+I38)=6,Ressources!$H$12+('Saisie maison'!H38-2)*Ressources!$H$13,IF((H38+I38)=5,Ressources!$G$12+('Saisie maison'!H38-2)*Ressources!$G$13,IF((H38+I38)=4,Ressources!$F$12+('Saisie maison'!H38-2)*Ressources!$F$13,0)))),IF(OR(P38=0,Q38=0),IF((H38+I38)&gt;5,Ressources!$H$12+(H38+I38-5)*Ressources!$I$12+('Saisie maison'!H38-1)*Ressources!$I$13,IF((H38+I38)=5,Ressources!$H$12+('Saisie maison'!H38-1)*Ressources!$H$13,IF((H38+I38)=4,Ressources!$G$12+('Saisie maison'!H38-1)*Ressources!$G$13,IF((H38+I38)=3,Ressources!$F$12+('Saisie maison'!H38-1)*Ressources!$F$13,0))))))</f>
        <v>0</v>
      </c>
      <c r="T38" s="171"/>
      <c r="U38" s="174"/>
    </row>
    <row r="40" spans="1:21" ht="15" customHeight="1" x14ac:dyDescent="0.3">
      <c r="B40" s="175"/>
      <c r="K40" s="289" t="s">
        <v>371</v>
      </c>
      <c r="L40" s="289"/>
      <c r="M40" s="289"/>
      <c r="N40" s="289"/>
      <c r="P40" s="296" t="s">
        <v>425</v>
      </c>
      <c r="Q40" s="297"/>
      <c r="R40" s="297"/>
      <c r="S40" s="298"/>
    </row>
    <row r="41" spans="1:21" x14ac:dyDescent="0.3">
      <c r="B41" s="176"/>
      <c r="K41" s="289"/>
      <c r="L41" s="289"/>
      <c r="M41" s="289"/>
      <c r="N41" s="289"/>
      <c r="P41" s="299"/>
      <c r="Q41" s="300"/>
      <c r="R41" s="300"/>
      <c r="S41" s="301"/>
    </row>
    <row r="42" spans="1:21" x14ac:dyDescent="0.3">
      <c r="P42" s="299"/>
      <c r="Q42" s="300"/>
      <c r="R42" s="300"/>
      <c r="S42" s="301"/>
    </row>
    <row r="43" spans="1:21" x14ac:dyDescent="0.3">
      <c r="P43" s="299"/>
      <c r="Q43" s="300"/>
      <c r="R43" s="300"/>
      <c r="S43" s="301"/>
    </row>
    <row r="44" spans="1:21" x14ac:dyDescent="0.3">
      <c r="P44" s="299"/>
      <c r="Q44" s="300"/>
      <c r="R44" s="300"/>
      <c r="S44" s="301"/>
    </row>
    <row r="45" spans="1:21" x14ac:dyDescent="0.3">
      <c r="P45" s="299"/>
      <c r="Q45" s="300"/>
      <c r="R45" s="300"/>
      <c r="S45" s="301"/>
    </row>
    <row r="46" spans="1:21" x14ac:dyDescent="0.3">
      <c r="P46" s="299"/>
      <c r="Q46" s="300"/>
      <c r="R46" s="300"/>
      <c r="S46" s="301"/>
    </row>
    <row r="47" spans="1:21" x14ac:dyDescent="0.3">
      <c r="O47" s="177"/>
      <c r="P47" s="302"/>
      <c r="Q47" s="303"/>
      <c r="R47" s="303"/>
      <c r="S47" s="304"/>
    </row>
    <row r="48" spans="1:21" x14ac:dyDescent="0.3">
      <c r="P48" s="178"/>
      <c r="Q48" s="178"/>
      <c r="R48" s="178"/>
      <c r="S48" s="177"/>
    </row>
    <row r="49" spans="16:19" x14ac:dyDescent="0.3">
      <c r="P49" s="178"/>
      <c r="Q49" s="178"/>
      <c r="R49" s="178"/>
      <c r="S49" s="177"/>
    </row>
    <row r="50" spans="16:19" x14ac:dyDescent="0.3">
      <c r="P50" s="178"/>
      <c r="Q50" s="178"/>
    </row>
  </sheetData>
  <sheetProtection algorithmName="SHA-512" hashValue="9Jsp2JGfRg+1DuVu5GRXO+h8zl/tXHuDJDHLXEkw72h6YjlXIfcHCsY05rrr5LTNyCSOueJ50Fs1uRUARsyqUQ==" saltValue="Mo8UDz/pnIqW7VLUZrus1Q==" spinCount="100000" sheet="1" objects="1" scenarios="1" selectLockedCells="1" pivotTables="0"/>
  <mergeCells count="33">
    <mergeCell ref="A10:B10"/>
    <mergeCell ref="C10:D10"/>
    <mergeCell ref="A1:U1"/>
    <mergeCell ref="C3:D3"/>
    <mergeCell ref="A4:B4"/>
    <mergeCell ref="A5:B5"/>
    <mergeCell ref="G8:G9"/>
    <mergeCell ref="A2:B2"/>
    <mergeCell ref="C2:I2"/>
    <mergeCell ref="A3:B3"/>
    <mergeCell ref="A6:B9"/>
    <mergeCell ref="P6:P9"/>
    <mergeCell ref="F11:F12"/>
    <mergeCell ref="G11:G12"/>
    <mergeCell ref="K40:N41"/>
    <mergeCell ref="M6:N9"/>
    <mergeCell ref="P40:S47"/>
    <mergeCell ref="A11:B12"/>
    <mergeCell ref="U11:U12"/>
    <mergeCell ref="C6:E9"/>
    <mergeCell ref="J11:J12"/>
    <mergeCell ref="H11:I11"/>
    <mergeCell ref="K11:O11"/>
    <mergeCell ref="S11:S12"/>
    <mergeCell ref="P11:R11"/>
    <mergeCell ref="T11:T12"/>
    <mergeCell ref="R6:S9"/>
    <mergeCell ref="F8:F9"/>
    <mergeCell ref="C11:C12"/>
    <mergeCell ref="G6:G7"/>
    <mergeCell ref="D11:D12"/>
    <mergeCell ref="F6:F7"/>
    <mergeCell ref="E11:E12"/>
  </mergeCells>
  <dataValidations count="7">
    <dataValidation type="list" allowBlank="1" showInputMessage="1" showErrorMessage="1" sqref="C3:D3">
      <formula1>VILLE</formula1>
    </dataValidation>
    <dataValidation type="list" allowBlank="1" showInputMessage="1" showErrorMessage="1" sqref="C4 G8:G9">
      <formula1>typedelogement</formula1>
    </dataValidation>
    <dataValidation type="list" allowBlank="1" showInputMessage="1" showErrorMessage="1" sqref="C5">
      <formula1>mitoyennete</formula1>
    </dataValidation>
    <dataValidation type="list" allowBlank="1" showInputMessage="1" showErrorMessage="1" sqref="C6:E9">
      <formula1>typereno</formula1>
    </dataValidation>
    <dataValidation type="list" allowBlank="1" showInputMessage="1" showErrorMessage="1" sqref="C10:D10">
      <formula1>typeiso</formula1>
    </dataValidation>
    <dataValidation type="list" allowBlank="1" showInputMessage="1" showErrorMessage="1" sqref="E13:E17">
      <formula1>typeecs</formula1>
    </dataValidation>
    <dataValidation type="list" allowBlank="1" showInputMessage="1" showErrorMessage="1" sqref="G13:G17">
      <formula1>cuisson</formula1>
    </dataValidation>
  </dataValidations>
  <pageMargins left="0.25" right="0.25" top="0.75" bottom="0.75" header="0.3" footer="0.3"/>
  <pageSetup paperSize="9" scale="46"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'élts calculs lgt ind'!$AN$37:$AN$56</xm:f>
          </x14:formula1>
          <xm:sqref>D13:D17</xm:sqref>
        </x14:dataValidation>
        <x14:dataValidation type="list" allowBlank="1" showInputMessage="1" showErrorMessage="1">
          <x14:formula1>
            <xm:f>'élts calculs lgt ind'!$AC$35:$AC$38</xm:f>
          </x14:formula1>
          <xm:sqref>F13:F17</xm:sqref>
        </x14:dataValidation>
        <x14:dataValidation type="list" allowBlank="1" showInputMessage="1" showErrorMessage="1">
          <x14:formula1>
            <xm:f>'élts calculs lgt ind'!$AI$31:$AI$33</xm:f>
          </x14:formula1>
          <xm:sqref>G10</xm:sqref>
        </x14:dataValidation>
        <x14:dataValidation type="list" allowBlank="1" showInputMessage="1" showErrorMessage="1">
          <x14:formula1>
            <xm:f>Ressources!$A$3:$A$11</xm:f>
          </x14:formula1>
          <xm:sqref>Q13:Q17</xm:sqref>
        </x14:dataValidation>
        <x14:dataValidation type="list" allowBlank="1" showInputMessage="1" showErrorMessage="1">
          <x14:formula1>
            <xm:f>'élts calculs lgt ind'!$Y$5:$Y$9</xm:f>
          </x14:formula1>
          <xm:sqref>B13:B17</xm:sqref>
        </x14:dataValidation>
        <x14:dataValidation type="list" allowBlank="1" showInputMessage="1" showErrorMessage="1">
          <x14:formula1>
            <xm:f>Ressources!$A$4:$A$11</xm:f>
          </x14:formula1>
          <xm:sqref>P13:P38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4"/>
    <pageSetUpPr fitToPage="1"/>
  </sheetPr>
  <dimension ref="A1:X24"/>
  <sheetViews>
    <sheetView showGridLines="0" zoomScale="70" zoomScaleNormal="70" workbookViewId="0">
      <selection activeCell="W13" sqref="W13"/>
    </sheetView>
  </sheetViews>
  <sheetFormatPr baseColWidth="10" defaultRowHeight="14.4" x14ac:dyDescent="0.3"/>
  <cols>
    <col min="1" max="1" width="12.33203125" customWidth="1"/>
    <col min="2" max="2" width="11.5546875" customWidth="1"/>
    <col min="3" max="3" width="6.88671875" bestFit="1" customWidth="1"/>
    <col min="4" max="7" width="10.88671875" customWidth="1"/>
    <col min="8" max="9" width="12.88671875" customWidth="1"/>
    <col min="10" max="10" width="10.88671875" customWidth="1"/>
    <col min="11" max="11" width="10.6640625" customWidth="1"/>
    <col min="12" max="13" width="10.88671875" customWidth="1"/>
    <col min="14" max="16" width="10.5546875" customWidth="1"/>
    <col min="17" max="17" width="4.33203125" style="131" customWidth="1"/>
    <col min="18" max="19" width="11.109375" customWidth="1"/>
    <col min="20" max="21" width="13" customWidth="1"/>
    <col min="22" max="22" width="9.33203125" customWidth="1"/>
    <col min="23" max="23" width="13" customWidth="1"/>
    <col min="24" max="24" width="5.33203125" customWidth="1"/>
    <col min="25" max="25" width="12.33203125" customWidth="1"/>
  </cols>
  <sheetData>
    <row r="1" spans="1:24" ht="34.5" customHeight="1" x14ac:dyDescent="0.6">
      <c r="A1" s="330" t="s">
        <v>456</v>
      </c>
      <c r="B1" s="331"/>
      <c r="C1" s="331"/>
      <c r="D1" s="331"/>
      <c r="E1" s="331"/>
      <c r="F1" s="331"/>
      <c r="G1" s="331"/>
      <c r="H1" s="331"/>
      <c r="I1" s="331"/>
      <c r="J1" s="331"/>
      <c r="K1" s="331"/>
      <c r="L1" s="331"/>
      <c r="M1" s="331"/>
      <c r="N1" s="331"/>
      <c r="O1" s="331"/>
      <c r="P1" s="331"/>
      <c r="Q1" s="331"/>
      <c r="R1" s="331"/>
      <c r="S1" s="331"/>
      <c r="T1" s="331"/>
      <c r="U1" s="331"/>
    </row>
    <row r="2" spans="1:24" ht="39" customHeight="1" x14ac:dyDescent="0.6">
      <c r="A2" s="336" t="s">
        <v>304</v>
      </c>
      <c r="B2" s="336"/>
      <c r="C2" s="336"/>
      <c r="D2" s="332">
        <f>'Saisie maison'!C2</f>
        <v>0</v>
      </c>
      <c r="E2" s="333"/>
      <c r="F2" s="333"/>
      <c r="G2" s="333"/>
      <c r="H2" s="334"/>
      <c r="I2" s="335"/>
      <c r="R2" s="133"/>
      <c r="S2" s="133"/>
      <c r="T2" s="133"/>
    </row>
    <row r="3" spans="1:24" s="118" customFormat="1" ht="45.75" customHeight="1" x14ac:dyDescent="0.3">
      <c r="A3" s="337" t="s">
        <v>308</v>
      </c>
      <c r="B3" s="337" t="s">
        <v>305</v>
      </c>
      <c r="C3" s="337" t="s">
        <v>306</v>
      </c>
      <c r="D3" s="339" t="s">
        <v>291</v>
      </c>
      <c r="E3" s="340"/>
      <c r="F3" s="340"/>
      <c r="G3" s="340"/>
      <c r="H3" s="340"/>
      <c r="I3" s="340"/>
      <c r="J3" s="350" t="s">
        <v>292</v>
      </c>
      <c r="K3" s="350"/>
      <c r="L3" s="227" t="s">
        <v>290</v>
      </c>
      <c r="M3" s="351" t="s">
        <v>451</v>
      </c>
      <c r="N3" s="351"/>
      <c r="O3" s="351"/>
      <c r="P3" s="352"/>
      <c r="Q3" s="228"/>
      <c r="R3" s="347" t="s">
        <v>394</v>
      </c>
      <c r="S3" s="348"/>
      <c r="T3" s="348"/>
      <c r="U3" s="349"/>
    </row>
    <row r="4" spans="1:24" ht="94.5" customHeight="1" x14ac:dyDescent="0.3">
      <c r="A4" s="338"/>
      <c r="B4" s="338"/>
      <c r="C4" s="338"/>
      <c r="D4" s="206" t="s">
        <v>30</v>
      </c>
      <c r="E4" s="206" t="s">
        <v>31</v>
      </c>
      <c r="F4" s="206" t="s">
        <v>32</v>
      </c>
      <c r="G4" s="206" t="s">
        <v>33</v>
      </c>
      <c r="H4" s="206" t="s">
        <v>34</v>
      </c>
      <c r="I4" s="207" t="s">
        <v>36</v>
      </c>
      <c r="J4" s="206" t="s">
        <v>479</v>
      </c>
      <c r="K4" s="206" t="s">
        <v>35</v>
      </c>
      <c r="L4" s="206" t="s">
        <v>294</v>
      </c>
      <c r="M4" s="207" t="s">
        <v>289</v>
      </c>
      <c r="N4" s="206" t="s">
        <v>310</v>
      </c>
      <c r="O4" s="207" t="s">
        <v>287</v>
      </c>
      <c r="P4" s="207" t="s">
        <v>288</v>
      </c>
      <c r="R4" s="134" t="s">
        <v>392</v>
      </c>
      <c r="S4" s="134" t="s">
        <v>395</v>
      </c>
      <c r="T4" s="134" t="s">
        <v>393</v>
      </c>
      <c r="U4" s="134" t="s">
        <v>364</v>
      </c>
    </row>
    <row r="5" spans="1:24" s="106" customFormat="1" ht="15.6" x14ac:dyDescent="0.3">
      <c r="A5" s="205" t="s">
        <v>1</v>
      </c>
      <c r="B5" s="205">
        <f>'Saisie maison'!B13</f>
        <v>0</v>
      </c>
      <c r="C5" s="205">
        <f>'Saisie maison'!C13</f>
        <v>0</v>
      </c>
      <c r="D5" s="210" t="str">
        <f>IF(ISNA(IF('élts calculs lgt ind'!AD$19&gt;100,'élts calculs lgt ind'!AD$19/12,5)),"-",IF('élts calculs lgt ind'!AD$19&gt;100,'élts calculs lgt ind'!AD$19/12,5))</f>
        <v>-</v>
      </c>
      <c r="E5" s="208" t="str">
        <f>IF(ISNA('élts calculs lgt ind'!AY37/12+IF(AND('élts calculs lgt ind'!AK6&lt;&gt;"gaz",('élts calculs lgt ind'!AL6="gaz")),'élts calculs lgt ind'!AN15,0)/12),"-",'élts calculs lgt ind'!AY37/12+IF(AND('élts calculs lgt ind'!AK6&lt;&gt;"gaz",('élts calculs lgt ind'!AL6="gaz")),'élts calculs lgt ind'!AN15,0)/12)</f>
        <v>-</v>
      </c>
      <c r="F5" s="208">
        <f>'élts calculs lgt ind'!AZ16/12</f>
        <v>0</v>
      </c>
      <c r="G5" s="210" t="str">
        <f>IF(ISNA('élts calculs lgt ind'!AO22/12),"-",'élts calculs lgt ind'!AO22/12)</f>
        <v>-</v>
      </c>
      <c r="H5" s="210" t="str">
        <f>IF(ISNA('élts calculs lgt ind'!AO29/12+IF(AND('élts calculs lgt ind'!AK6&lt;&gt;"gaz",('élts calculs lgt ind'!AL6&lt;&gt;"gaz"),('Saisie maison'!G13="gaz de ville")),'élts calculs lgt ind'!AN15,0)/12),"-",'élts calculs lgt ind'!AO29/12+IF(AND('élts calculs lgt ind'!AK6&lt;&gt;"gaz",('élts calculs lgt ind'!AL6&lt;&gt;"gaz"),('Saisie maison'!G13="gaz de ville")),'élts calculs lgt ind'!AN15,0)/12)</f>
        <v>-</v>
      </c>
      <c r="I5" s="211">
        <f>IF(ISERROR(D5+E5+F5+G5+H5),0,D5+E5+F5+G5+H5)</f>
        <v>0</v>
      </c>
      <c r="J5" s="208">
        <f>(('Saisie maison'!K13*'Saisie maison'!C13)+'Saisie maison'!L13+'Saisie maison'!M13+'Saisie maison'!N13+'Saisie maison'!O13)/12</f>
        <v>0</v>
      </c>
      <c r="K5" s="208">
        <f>I5+'Saisie maison'!J13+J5</f>
        <v>0</v>
      </c>
      <c r="L5" s="208">
        <f>K5-'Saisie maison'!U13</f>
        <v>0</v>
      </c>
      <c r="M5" s="211">
        <f>'Saisie maison'!R13+'Saisie maison'!S13-'Résultat maison'!L5</f>
        <v>0</v>
      </c>
      <c r="N5" s="212">
        <f>IF('Saisie maison'!H13&gt;0,1+0.5*('Saisie maison'!H13-1)+0.3*'Saisie maison'!I13,0)</f>
        <v>0</v>
      </c>
      <c r="O5" s="213">
        <f>IF(ISERROR(M5/(N5*30)),0,M5/(N5*30))</f>
        <v>0</v>
      </c>
      <c r="P5" s="214">
        <f>IF(ISERROR(L5/('Saisie maison'!R13+'Saisie maison'!S13)),0,L5/('Saisie maison'!R13+'Saisie maison'!S13))</f>
        <v>0</v>
      </c>
      <c r="Q5" s="131"/>
      <c r="R5" s="208">
        <f>IF(ISERROR('Cheque Energie'!G16),0,'Cheque Energie'!G16)</f>
        <v>0</v>
      </c>
      <c r="S5" s="208">
        <f>R5/12</f>
        <v>0</v>
      </c>
      <c r="T5" s="208">
        <f>M5+S5</f>
        <v>0</v>
      </c>
      <c r="U5" s="209">
        <f>IF(ISERROR((L5-S5)/('Saisie maison'!R13+'Saisie maison'!S13)),0,(L5-S5)/('Saisie maison'!R13+'Saisie maison'!S13))</f>
        <v>0</v>
      </c>
      <c r="V5"/>
      <c r="W5"/>
      <c r="X5"/>
    </row>
    <row r="6" spans="1:24" s="106" customFormat="1" ht="15.6" x14ac:dyDescent="0.3">
      <c r="A6" s="205" t="s">
        <v>2</v>
      </c>
      <c r="B6" s="205">
        <f>'Saisie maison'!B14</f>
        <v>0</v>
      </c>
      <c r="C6" s="205">
        <f>'Saisie maison'!C14</f>
        <v>0</v>
      </c>
      <c r="D6" s="210" t="str">
        <f>IF(ISNA(IF('élts calculs lgt ind'!AE$19&gt;100,'élts calculs lgt ind'!AE$19/12,5)),"-",IF('élts calculs lgt ind'!AE$19&gt;100,'élts calculs lgt ind'!AE$19/12,5))</f>
        <v>-</v>
      </c>
      <c r="E6" s="208" t="str">
        <f>IF(ISNA('élts calculs lgt ind'!AY38/12+IF(AND('élts calculs lgt ind'!AK7&lt;&gt;"gaz",('élts calculs lgt ind'!AL7="gaz")),'élts calculs lgt ind'!AN16,0)/12),"-",'élts calculs lgt ind'!AY38/12+IF(AND('élts calculs lgt ind'!AK7&lt;&gt;"gaz",('élts calculs lgt ind'!AL7="gaz")),'élts calculs lgt ind'!AN16,0)/12)</f>
        <v>-</v>
      </c>
      <c r="F6" s="208">
        <f>'élts calculs lgt ind'!BB16/12</f>
        <v>0</v>
      </c>
      <c r="G6" s="210" t="str">
        <f>IF(ISNA('élts calculs lgt ind'!AO23/12),"-",'élts calculs lgt ind'!AO23/12)</f>
        <v>-</v>
      </c>
      <c r="H6" s="210" t="str">
        <f>IF(ISNA('élts calculs lgt ind'!AO30/12+IF(AND('élts calculs lgt ind'!AK7&lt;&gt;"gaz",('élts calculs lgt ind'!AL7&lt;&gt;"gaz"),('Saisie maison'!G14="gaz de ville")),'élts calculs lgt ind'!AN16,0)/12),"-",'élts calculs lgt ind'!AO30/12+IF(AND('élts calculs lgt ind'!AK7&lt;&gt;"gaz",('élts calculs lgt ind'!AL7&lt;&gt;"gaz"),('Saisie maison'!G14="gaz de ville")),'élts calculs lgt ind'!AN16,0)/12)</f>
        <v>-</v>
      </c>
      <c r="I6" s="211">
        <f t="shared" ref="I6:I7" si="0">IF(ISERROR(D6+E6+F6+G6+H6),0,D6+E6+F6+G6+H6)</f>
        <v>0</v>
      </c>
      <c r="J6" s="208">
        <f>(('Saisie maison'!K14*'Saisie maison'!C14)+'Saisie maison'!L14+'Saisie maison'!M14+'Saisie maison'!N14+'Saisie maison'!O14)/12</f>
        <v>0</v>
      </c>
      <c r="K6" s="208">
        <f>I6+'Saisie maison'!J14+J6</f>
        <v>0</v>
      </c>
      <c r="L6" s="208">
        <f>K6-'Saisie maison'!U14</f>
        <v>0</v>
      </c>
      <c r="M6" s="211">
        <f>'Saisie maison'!R14+'Saisie maison'!S14-'Résultat maison'!L6</f>
        <v>0</v>
      </c>
      <c r="N6" s="212">
        <f>IF('Saisie maison'!H14&gt;0,1+0.5*('Saisie maison'!H14-1)+0.3*'Saisie maison'!I14,0)</f>
        <v>0</v>
      </c>
      <c r="O6" s="213">
        <f t="shared" ref="O6:O7" si="1">IF(ISERROR(M6/(N6*30)),0,M6/(N6*30))</f>
        <v>0</v>
      </c>
      <c r="P6" s="214">
        <f>IF(ISERROR(L6/('Saisie maison'!R14+'Saisie maison'!S14)),0,L6/('Saisie maison'!R14+'Saisie maison'!S14))</f>
        <v>0</v>
      </c>
      <c r="Q6" s="131"/>
      <c r="R6" s="208">
        <f>IF(ISERROR('Cheque Energie'!G17),0,'Cheque Energie'!G17)</f>
        <v>0</v>
      </c>
      <c r="S6" s="208">
        <f t="shared" ref="S6:S7" si="2">R6/12</f>
        <v>0</v>
      </c>
      <c r="T6" s="208">
        <f t="shared" ref="T6:T7" si="3">M6+S6</f>
        <v>0</v>
      </c>
      <c r="U6" s="209">
        <f>IF(ISERROR((L6-S6)/('Saisie maison'!R14+'Saisie maison'!S14)),0,(L6-S6)/('Saisie maison'!R14+'Saisie maison'!S14))</f>
        <v>0</v>
      </c>
      <c r="V6"/>
      <c r="W6"/>
      <c r="X6"/>
    </row>
    <row r="7" spans="1:24" s="106" customFormat="1" ht="15.6" x14ac:dyDescent="0.3">
      <c r="A7" s="205" t="s">
        <v>3</v>
      </c>
      <c r="B7" s="205">
        <f>'Saisie maison'!B15</f>
        <v>0</v>
      </c>
      <c r="C7" s="205">
        <f>'Saisie maison'!C15</f>
        <v>0</v>
      </c>
      <c r="D7" s="210" t="str">
        <f>IF(ISNA(IF('élts calculs lgt ind'!AF$19&gt;100,'élts calculs lgt ind'!AF$19/12,5)),"-",IF('élts calculs lgt ind'!AF$19&gt;100,'élts calculs lgt ind'!AF$19/12,5))</f>
        <v>-</v>
      </c>
      <c r="E7" s="208" t="str">
        <f>IF(ISNA('élts calculs lgt ind'!AY39/12+IF(AND('élts calculs lgt ind'!AK8&lt;&gt;"gaz",('élts calculs lgt ind'!AL8="gaz")),'élts calculs lgt ind'!AN17,0)/12),"-",'élts calculs lgt ind'!AY39/12+IF(AND('élts calculs lgt ind'!AK8&lt;&gt;"gaz",('élts calculs lgt ind'!AL8="gaz")),'élts calculs lgt ind'!AN17,0)/12)</f>
        <v>-</v>
      </c>
      <c r="F7" s="208">
        <f>'élts calculs lgt ind'!BD16/12</f>
        <v>0</v>
      </c>
      <c r="G7" s="210" t="str">
        <f>IF(ISNA('élts calculs lgt ind'!AO24/12),"-",'élts calculs lgt ind'!AO24/12)</f>
        <v>-</v>
      </c>
      <c r="H7" s="210" t="str">
        <f>IF(ISNA('élts calculs lgt ind'!AO31/12+IF(AND('élts calculs lgt ind'!AK8&lt;&gt;"gaz",('élts calculs lgt ind'!AL8&lt;&gt;"gaz"),('Saisie maison'!G15="gaz de ville")),'élts calculs lgt ind'!AN17,0)/12),"-",'élts calculs lgt ind'!AO31/12+IF(AND('élts calculs lgt ind'!AK8&lt;&gt;"gaz",('élts calculs lgt ind'!AL8&lt;&gt;"gaz"),('Saisie maison'!G15="gaz de ville")),'élts calculs lgt ind'!AN17,0)/12)</f>
        <v>-</v>
      </c>
      <c r="I7" s="211">
        <f t="shared" si="0"/>
        <v>0</v>
      </c>
      <c r="J7" s="208">
        <f>(('Saisie maison'!K15*'Saisie maison'!C15)+'Saisie maison'!L15+'Saisie maison'!M15+'Saisie maison'!N15+'Saisie maison'!O15)/12</f>
        <v>0</v>
      </c>
      <c r="K7" s="208">
        <f>I7+'Saisie maison'!J15+J7</f>
        <v>0</v>
      </c>
      <c r="L7" s="208">
        <f>K7-'Saisie maison'!U15</f>
        <v>0</v>
      </c>
      <c r="M7" s="211">
        <f>'Saisie maison'!R15+'Saisie maison'!S15-'Résultat maison'!L7</f>
        <v>0</v>
      </c>
      <c r="N7" s="212">
        <f>IF('Saisie maison'!H15&gt;0,1+0.5*('Saisie maison'!H15-1)+0.3*'Saisie maison'!I15,0)</f>
        <v>0</v>
      </c>
      <c r="O7" s="213">
        <f t="shared" si="1"/>
        <v>0</v>
      </c>
      <c r="P7" s="214">
        <f>IF(ISERROR(L7/('Saisie maison'!R15+'Saisie maison'!S15)),0,L7/('Saisie maison'!R15+'Saisie maison'!S15))</f>
        <v>0</v>
      </c>
      <c r="Q7" s="131"/>
      <c r="R7" s="208">
        <f>IF(ISERROR('Cheque Energie'!G18),0,'Cheque Energie'!G18)</f>
        <v>0</v>
      </c>
      <c r="S7" s="208">
        <f t="shared" si="2"/>
        <v>0</v>
      </c>
      <c r="T7" s="208">
        <f t="shared" si="3"/>
        <v>0</v>
      </c>
      <c r="U7" s="209">
        <f>IF(ISERROR((L7-S7)/('Saisie maison'!R15+'Saisie maison'!S15)),0,(L7-S7)/('Saisie maison'!R15+'Saisie maison'!S15))</f>
        <v>0</v>
      </c>
      <c r="V7"/>
      <c r="W7"/>
      <c r="X7"/>
    </row>
    <row r="8" spans="1:24" s="106" customFormat="1" ht="15.6" x14ac:dyDescent="0.3">
      <c r="A8" s="205" t="s">
        <v>4</v>
      </c>
      <c r="B8" s="205">
        <f>'Saisie maison'!B16</f>
        <v>0</v>
      </c>
      <c r="C8" s="205">
        <f>'Saisie maison'!C16</f>
        <v>0</v>
      </c>
      <c r="D8" s="210" t="str">
        <f>IF(ISNA(IF('élts calculs lgt ind'!AG19&gt;100,'élts calculs lgt ind'!AG19/12,5)),"-",IF('élts calculs lgt ind'!AG19&gt;100,'élts calculs lgt ind'!AG19/12,5))</f>
        <v>-</v>
      </c>
      <c r="E8" s="208" t="str">
        <f>IF(ISNA('élts calculs lgt ind'!AY40/12+IF(AND('élts calculs lgt ind'!AK9&lt;&gt;"gaz",('élts calculs lgt ind'!AL9="gaz")),'élts calculs lgt ind'!AN18,0)/12),"-",'élts calculs lgt ind'!AY40/12+IF(AND('élts calculs lgt ind'!AK9&lt;&gt;"gaz",('élts calculs lgt ind'!AL9="gaz")),'élts calculs lgt ind'!AN18,0)/12)</f>
        <v>-</v>
      </c>
      <c r="F8" s="208">
        <f>'élts calculs lgt ind'!BF16/12</f>
        <v>0</v>
      </c>
      <c r="G8" s="210" t="str">
        <f>IF(ISNA('élts calculs lgt ind'!AO25/12),"-",'élts calculs lgt ind'!AO25/12)</f>
        <v>-</v>
      </c>
      <c r="H8" s="210" t="str">
        <f>IF(ISNA('élts calculs lgt ind'!AO32/12+IF(AND('élts calculs lgt ind'!AK9&lt;&gt;"gaz",('élts calculs lgt ind'!AL9&lt;&gt;"gaz"),('Saisie maison'!G16="gaz de ville")),'élts calculs lgt ind'!AN18,0)/12),"-",'élts calculs lgt ind'!AO32/12+IF(AND('élts calculs lgt ind'!AK9&lt;&gt;"gaz",('élts calculs lgt ind'!AL9&lt;&gt;"gaz"),('Saisie maison'!G16="gaz de ville")),'élts calculs lgt ind'!AN18,0)/12)</f>
        <v>-</v>
      </c>
      <c r="I8" s="211">
        <f t="shared" ref="I8:I9" si="4">IF(ISERROR(D8+E8+F8+G8+H8),0,D8+E8+F8+G8+H8)</f>
        <v>0</v>
      </c>
      <c r="J8" s="208">
        <f>(('Saisie maison'!K16*'Saisie maison'!C16)+'Saisie maison'!L16+'Saisie maison'!M16+'Saisie maison'!N16+'Saisie maison'!O16)/12</f>
        <v>0</v>
      </c>
      <c r="K8" s="208">
        <f>I8+'Saisie maison'!J16+J8</f>
        <v>0</v>
      </c>
      <c r="L8" s="208">
        <f>K8-'Saisie maison'!U16</f>
        <v>0</v>
      </c>
      <c r="M8" s="211">
        <f>'Saisie maison'!R16+'Saisie maison'!S16-'Résultat maison'!L8</f>
        <v>0</v>
      </c>
      <c r="N8" s="212">
        <f>IF('Saisie maison'!H16&gt;0,1+0.5*('Saisie maison'!H16-1)+0.3*'Saisie maison'!I16,0)</f>
        <v>0</v>
      </c>
      <c r="O8" s="213">
        <f t="shared" ref="O8:O9" si="5">IF(ISERROR(M8/(N8*30)),0,M8/(N8*30))</f>
        <v>0</v>
      </c>
      <c r="P8" s="214">
        <f>IF(ISERROR(L8/('Saisie maison'!R16+'Saisie maison'!S16)),0,L8/('Saisie maison'!R16+'Saisie maison'!S16))</f>
        <v>0</v>
      </c>
      <c r="Q8" s="131"/>
      <c r="R8" s="208">
        <f>IF(ISERROR('Cheque Energie'!G19),0,'Cheque Energie'!G19)</f>
        <v>0</v>
      </c>
      <c r="S8" s="208">
        <f t="shared" ref="S8:S9" si="6">R8/12</f>
        <v>0</v>
      </c>
      <c r="T8" s="208">
        <f>M8+S8</f>
        <v>0</v>
      </c>
      <c r="U8" s="209">
        <f>IF(ISERROR((L8-S8)/('Saisie maison'!R16+'Saisie maison'!S16)),0,(L8-S8)/('Saisie maison'!R16+'Saisie maison'!S16))</f>
        <v>0</v>
      </c>
    </row>
    <row r="9" spans="1:24" s="106" customFormat="1" ht="15.6" x14ac:dyDescent="0.3">
      <c r="A9" s="205" t="s">
        <v>5</v>
      </c>
      <c r="B9" s="205">
        <f>'Saisie maison'!B17</f>
        <v>0</v>
      </c>
      <c r="C9" s="205">
        <f>'Saisie maison'!C17</f>
        <v>0</v>
      </c>
      <c r="D9" s="210" t="str">
        <f>IF(ISNA(IF('élts calculs lgt ind'!AH19&gt;100,'élts calculs lgt ind'!AH19/12,5)),"-",IF('élts calculs lgt ind'!AH19&gt;100,'élts calculs lgt ind'!AH19/12,5))</f>
        <v>-</v>
      </c>
      <c r="E9" s="208" t="str">
        <f>IF(ISNA('élts calculs lgt ind'!AY41/12+IF(AND('élts calculs lgt ind'!AK10&lt;&gt;"gaz",('élts calculs lgt ind'!AL10="gaz")),'élts calculs lgt ind'!AN19,0)/12),"-",'élts calculs lgt ind'!AY41/12+IF(AND('élts calculs lgt ind'!AK10&lt;&gt;"gaz",('élts calculs lgt ind'!AL10="gaz")),'élts calculs lgt ind'!AN19,0)/12)</f>
        <v>-</v>
      </c>
      <c r="F9" s="210">
        <f>'élts calculs lgt ind'!BH16/12</f>
        <v>0</v>
      </c>
      <c r="G9" s="210" t="str">
        <f>IF(ISNA('élts calculs lgt ind'!AO26/12),"-",'élts calculs lgt ind'!AO26/12)</f>
        <v>-</v>
      </c>
      <c r="H9" s="210" t="str">
        <f>IF(ISNA('élts calculs lgt ind'!AO33/12+IF(AND('élts calculs lgt ind'!AK10&lt;&gt;"gaz",('élts calculs lgt ind'!AL10&lt;&gt;"gaz"),('Saisie maison'!G17="gaz de ville")),'élts calculs lgt ind'!AN19,0)/12),"-",'élts calculs lgt ind'!AO33/12+IF(AND('élts calculs lgt ind'!AK10&lt;&gt;"gaz",('élts calculs lgt ind'!AL10&lt;&gt;"gaz"),('Saisie maison'!G17="gaz de ville")),'élts calculs lgt ind'!AN19,0)/12)</f>
        <v>-</v>
      </c>
      <c r="I9" s="211">
        <f t="shared" si="4"/>
        <v>0</v>
      </c>
      <c r="J9" s="208">
        <f>(('Saisie maison'!K17*'Saisie maison'!C17)+'Saisie maison'!L17+'Saisie maison'!M17+'Saisie maison'!N17+'Saisie maison'!O17)/12</f>
        <v>0</v>
      </c>
      <c r="K9" s="208">
        <f>I9+'Saisie maison'!J17+J9</f>
        <v>0</v>
      </c>
      <c r="L9" s="208">
        <f>K9-'Saisie maison'!U17</f>
        <v>0</v>
      </c>
      <c r="M9" s="211">
        <f>'Saisie maison'!R17+'Saisie maison'!S17-'Résultat maison'!L9</f>
        <v>0</v>
      </c>
      <c r="N9" s="212">
        <f>IF('Saisie maison'!H17&gt;0,1+0.5*('Saisie maison'!H17-1)+0.3*'Saisie maison'!I17,0)</f>
        <v>0</v>
      </c>
      <c r="O9" s="213">
        <f t="shared" si="5"/>
        <v>0</v>
      </c>
      <c r="P9" s="214">
        <f>IF(ISERROR(L9/('Saisie maison'!R17+'Saisie maison'!S17)),0,L9/('Saisie maison'!R17+'Saisie maison'!S17))</f>
        <v>0</v>
      </c>
      <c r="Q9" s="131"/>
      <c r="R9" s="208">
        <f>IF(ISERROR('Cheque Energie'!G20),0,'Cheque Energie'!G20)</f>
        <v>0</v>
      </c>
      <c r="S9" s="208">
        <f t="shared" si="6"/>
        <v>0</v>
      </c>
      <c r="T9" s="208">
        <f>M9+S9</f>
        <v>0</v>
      </c>
      <c r="U9" s="209">
        <f>IF(ISERROR((L9-S9)/('Saisie maison'!R17+'Saisie maison'!S17)),0,(L9-S9)/('Saisie maison'!R17+'Saisie maison'!S17))</f>
        <v>0</v>
      </c>
    </row>
    <row r="10" spans="1:24" ht="9.75" customHeight="1" x14ac:dyDescent="0.3"/>
    <row r="11" spans="1:24" ht="21.75" customHeight="1" x14ac:dyDescent="0.3">
      <c r="B11" s="343" t="s">
        <v>396</v>
      </c>
      <c r="C11" s="344"/>
      <c r="D11" s="344"/>
      <c r="E11" s="344"/>
      <c r="F11" s="345"/>
      <c r="H11" s="359" t="s">
        <v>397</v>
      </c>
      <c r="I11" s="360"/>
      <c r="J11" s="360"/>
      <c r="K11" s="361"/>
      <c r="Q11"/>
    </row>
    <row r="12" spans="1:24" ht="22.5" customHeight="1" x14ac:dyDescent="0.3">
      <c r="B12" s="341" t="s">
        <v>445</v>
      </c>
      <c r="C12" s="341"/>
      <c r="D12" s="346" t="s">
        <v>276</v>
      </c>
      <c r="E12" s="346" t="s">
        <v>446</v>
      </c>
      <c r="F12" s="346" t="s">
        <v>276</v>
      </c>
      <c r="H12" s="362"/>
      <c r="I12" s="363"/>
      <c r="J12" s="363"/>
      <c r="K12" s="364"/>
      <c r="Q12"/>
    </row>
    <row r="13" spans="1:24" ht="27" customHeight="1" x14ac:dyDescent="0.3">
      <c r="B13" s="342"/>
      <c r="C13" s="342"/>
      <c r="D13" s="341"/>
      <c r="E13" s="341"/>
      <c r="F13" s="341"/>
      <c r="H13" s="353" t="s">
        <v>229</v>
      </c>
      <c r="I13" s="354"/>
      <c r="J13" s="353" t="s">
        <v>437</v>
      </c>
      <c r="K13" s="354"/>
      <c r="Q13"/>
    </row>
    <row r="14" spans="1:24" x14ac:dyDescent="0.3">
      <c r="A14" s="320" t="s">
        <v>1</v>
      </c>
      <c r="B14" s="322" t="str">
        <f>IF(ISNA('élts calculs lgt ind'!AD18+'élts calculs lgt ind'!AN22+'élts calculs lgt ind'!AN29+'élts calculs lgt ind'!AY35),"-",'élts calculs lgt ind'!AD18+'élts calculs lgt ind'!AN22+'élts calculs lgt ind'!AN29+'élts calculs lgt ind'!AY35)</f>
        <v>-</v>
      </c>
      <c r="C14" s="323"/>
      <c r="D14" s="326">
        <f>IF(ISERROR(B14/'Saisie maison'!C13),0,B14/'Saisie maison'!C13)</f>
        <v>0</v>
      </c>
      <c r="E14" s="328" t="str">
        <f>IF(ISNA('élts calculs lgt ind'!AD18),"-",'élts calculs lgt ind'!AD18)</f>
        <v>-</v>
      </c>
      <c r="F14" s="326">
        <f>IF(ISERROR(E14/'Saisie maison'!C13),0,E14/'Saisie maison'!C13)</f>
        <v>0</v>
      </c>
      <c r="H14" s="355"/>
      <c r="I14" s="356"/>
      <c r="J14" s="355"/>
      <c r="K14" s="356"/>
      <c r="Q14"/>
    </row>
    <row r="15" spans="1:24" ht="15" customHeight="1" x14ac:dyDescent="0.3">
      <c r="A15" s="321"/>
      <c r="B15" s="324"/>
      <c r="C15" s="325"/>
      <c r="D15" s="327"/>
      <c r="E15" s="329"/>
      <c r="F15" s="327"/>
      <c r="H15" s="357"/>
      <c r="I15" s="358"/>
      <c r="J15" s="357"/>
      <c r="K15" s="358"/>
      <c r="Q15"/>
    </row>
    <row r="16" spans="1:24" ht="15" customHeight="1" x14ac:dyDescent="0.3">
      <c r="A16" s="320" t="s">
        <v>2</v>
      </c>
      <c r="B16" s="322" t="str">
        <f>IF(ISNA('élts calculs lgt ind'!AE18+'élts calculs lgt ind'!AN23+'élts calculs lgt ind'!AN30+'élts calculs lgt ind'!BA35),"-",'élts calculs lgt ind'!AE18+'élts calculs lgt ind'!AN23+'élts calculs lgt ind'!AN30+'élts calculs lgt ind'!BA35)</f>
        <v>-</v>
      </c>
      <c r="C16" s="323"/>
      <c r="D16" s="326">
        <f>IF(ISERROR(B16/'Saisie maison'!C14),0,B16/'Saisie maison'!C14)</f>
        <v>0</v>
      </c>
      <c r="E16" s="328" t="str">
        <f>IF(ISNA('élts calculs lgt ind'!AE18),"-",'élts calculs lgt ind'!AE18)</f>
        <v>-</v>
      </c>
      <c r="F16" s="326">
        <f>IF(ISERROR(E16/'Saisie maison'!C14),0,E16/'Saisie maison'!C14)</f>
        <v>0</v>
      </c>
      <c r="H16" s="263"/>
      <c r="I16" s="263"/>
      <c r="J16" s="263"/>
      <c r="K16" s="263"/>
      <c r="Q16"/>
    </row>
    <row r="17" spans="1:17" ht="15" customHeight="1" x14ac:dyDescent="0.3">
      <c r="A17" s="321"/>
      <c r="B17" s="324"/>
      <c r="C17" s="325"/>
      <c r="D17" s="327"/>
      <c r="E17" s="329"/>
      <c r="F17" s="327"/>
      <c r="H17" s="263"/>
      <c r="I17" s="263"/>
      <c r="J17" s="263"/>
      <c r="K17" s="263"/>
      <c r="Q17"/>
    </row>
    <row r="18" spans="1:17" ht="15" customHeight="1" x14ac:dyDescent="0.3">
      <c r="A18" s="320" t="s">
        <v>3</v>
      </c>
      <c r="B18" s="322" t="str">
        <f>IF(ISNA('élts calculs lgt ind'!AF18+'élts calculs lgt ind'!AN24+'élts calculs lgt ind'!AN31+'élts calculs lgt ind'!BC35),"-",'élts calculs lgt ind'!AF18+'élts calculs lgt ind'!AN24+'élts calculs lgt ind'!AN31+'élts calculs lgt ind'!BC35)</f>
        <v>-</v>
      </c>
      <c r="C18" s="323"/>
      <c r="D18" s="326">
        <f>IF(ISERROR(B18/'Saisie maison'!C15),0,B18/'Saisie maison'!C15)</f>
        <v>0</v>
      </c>
      <c r="E18" s="328" t="str">
        <f>IF(ISNA('élts calculs lgt ind'!AF18),"-",'élts calculs lgt ind'!AF18)</f>
        <v>-</v>
      </c>
      <c r="F18" s="326">
        <f>IF(ISERROR(E18/'Saisie maison'!C15),0,E18/'Saisie maison'!C15)</f>
        <v>0</v>
      </c>
      <c r="H18" s="263"/>
      <c r="I18" s="263"/>
      <c r="J18" s="263"/>
      <c r="K18" s="263"/>
      <c r="Q18"/>
    </row>
    <row r="19" spans="1:17" ht="15" customHeight="1" x14ac:dyDescent="0.3">
      <c r="A19" s="321"/>
      <c r="B19" s="324"/>
      <c r="C19" s="325"/>
      <c r="D19" s="327"/>
      <c r="E19" s="329"/>
      <c r="F19" s="327"/>
      <c r="H19" s="263"/>
      <c r="I19" s="263"/>
      <c r="J19" s="263"/>
      <c r="K19" s="263"/>
      <c r="Q19"/>
    </row>
    <row r="20" spans="1:17" ht="15" customHeight="1" x14ac:dyDescent="0.3">
      <c r="A20" s="320" t="s">
        <v>4</v>
      </c>
      <c r="B20" s="322" t="str">
        <f>IF(ISNA('élts calculs lgt ind'!AG18+'élts calculs lgt ind'!AN25+'élts calculs lgt ind'!AN32+'élts calculs lgt ind'!BE35),"-",'élts calculs lgt ind'!AG18+'élts calculs lgt ind'!AN25+'élts calculs lgt ind'!AN32+'élts calculs lgt ind'!BE35)</f>
        <v>-</v>
      </c>
      <c r="C20" s="323"/>
      <c r="D20" s="326">
        <f>IF(ISERROR(B20/'Saisie maison'!C16),0,B20/'Saisie maison'!C16)</f>
        <v>0</v>
      </c>
      <c r="E20" s="328" t="str">
        <f>IF(ISNA('élts calculs lgt ind'!AG18),"-",'élts calculs lgt ind'!AG18)</f>
        <v>-</v>
      </c>
      <c r="F20" s="326">
        <f>IF(ISERROR(E20/'Saisie maison'!C16),0,E20/'Saisie maison'!C16)</f>
        <v>0</v>
      </c>
      <c r="Q20"/>
    </row>
    <row r="21" spans="1:17" ht="15" customHeight="1" x14ac:dyDescent="0.3">
      <c r="A21" s="321"/>
      <c r="B21" s="324"/>
      <c r="C21" s="325"/>
      <c r="D21" s="327"/>
      <c r="E21" s="329"/>
      <c r="F21" s="327"/>
      <c r="Q21"/>
    </row>
    <row r="22" spans="1:17" ht="15" customHeight="1" x14ac:dyDescent="0.3">
      <c r="A22" s="320" t="s">
        <v>5</v>
      </c>
      <c r="B22" s="322" t="str">
        <f>IF(ISNA('élts calculs lgt ind'!AH18+'élts calculs lgt ind'!AN26+'élts calculs lgt ind'!AN33+'élts calculs lgt ind'!BG35),"-",'élts calculs lgt ind'!AH18+'élts calculs lgt ind'!AN26+'élts calculs lgt ind'!AN33+'élts calculs lgt ind'!BG35)</f>
        <v>-</v>
      </c>
      <c r="C22" s="323"/>
      <c r="D22" s="326">
        <f>IF(ISERROR(B22/'Saisie maison'!C17),0,B22/'Saisie maison'!C17)</f>
        <v>0</v>
      </c>
      <c r="E22" s="328" t="str">
        <f>IF(ISNA('élts calculs lgt ind'!AH18),"-",'élts calculs lgt ind'!AH18)</f>
        <v>-</v>
      </c>
      <c r="F22" s="326">
        <f>IF(ISERROR(E22/'Saisie maison'!C17),0,E22/'Saisie maison'!C17)</f>
        <v>0</v>
      </c>
      <c r="Q22"/>
    </row>
    <row r="23" spans="1:17" x14ac:dyDescent="0.3">
      <c r="A23" s="321"/>
      <c r="B23" s="324"/>
      <c r="C23" s="325"/>
      <c r="D23" s="327"/>
      <c r="E23" s="329"/>
      <c r="F23" s="327"/>
    </row>
    <row r="24" spans="1:17" x14ac:dyDescent="0.3">
      <c r="A24" t="s">
        <v>447</v>
      </c>
    </row>
  </sheetData>
  <sheetProtection algorithmName="SHA-512" hashValue="VKF3LlhbxDHNYtnPGGWncEfPRjP8zfqckjZFulIVHky9cYc5mNkZPnHVvsFEqftvIl8U8URnihPgZ9VvYSqg+A==" saltValue="bk02MfMd2eOi2JyTzl90mg==" spinCount="100000" sheet="1" objects="1" scenarios="1" pivotTables="0"/>
  <mergeCells count="43">
    <mergeCell ref="B20:C21"/>
    <mergeCell ref="B22:C23"/>
    <mergeCell ref="D14:D15"/>
    <mergeCell ref="E14:E15"/>
    <mergeCell ref="F14:F15"/>
    <mergeCell ref="D20:D21"/>
    <mergeCell ref="E20:E21"/>
    <mergeCell ref="F20:F21"/>
    <mergeCell ref="B14:C15"/>
    <mergeCell ref="F12:F13"/>
    <mergeCell ref="C3:C4"/>
    <mergeCell ref="R3:U3"/>
    <mergeCell ref="J3:K3"/>
    <mergeCell ref="M3:P3"/>
    <mergeCell ref="J13:K15"/>
    <mergeCell ref="H11:K12"/>
    <mergeCell ref="H13:I15"/>
    <mergeCell ref="A1:U1"/>
    <mergeCell ref="D2:I2"/>
    <mergeCell ref="A2:C2"/>
    <mergeCell ref="D22:D23"/>
    <mergeCell ref="E22:E23"/>
    <mergeCell ref="F22:F23"/>
    <mergeCell ref="A3:A4"/>
    <mergeCell ref="B3:B4"/>
    <mergeCell ref="A14:A15"/>
    <mergeCell ref="A20:A21"/>
    <mergeCell ref="A22:A23"/>
    <mergeCell ref="D3:I3"/>
    <mergeCell ref="B12:C13"/>
    <mergeCell ref="B11:F11"/>
    <mergeCell ref="D12:D13"/>
    <mergeCell ref="E12:E13"/>
    <mergeCell ref="A18:A19"/>
    <mergeCell ref="B18:C19"/>
    <mergeCell ref="D18:D19"/>
    <mergeCell ref="E18:E19"/>
    <mergeCell ref="F18:F19"/>
    <mergeCell ref="A16:A17"/>
    <mergeCell ref="B16:C17"/>
    <mergeCell ref="D16:D17"/>
    <mergeCell ref="E16:E17"/>
    <mergeCell ref="F16:F17"/>
  </mergeCells>
  <conditionalFormatting sqref="D2 D5:P9 T5:U9">
    <cfRule type="containsErrors" dxfId="6" priority="9">
      <formula>ISERROR(D2)</formula>
    </cfRule>
  </conditionalFormatting>
  <conditionalFormatting sqref="R5:S9">
    <cfRule type="containsErrors" dxfId="5" priority="1">
      <formula>ISERROR(R5)</formula>
    </cfRule>
  </conditionalFormatting>
  <pageMargins left="0.25" right="0.25" top="0.75" bottom="0.75" header="0.3" footer="0.3"/>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2:BJ132"/>
  <sheetViews>
    <sheetView workbookViewId="0">
      <selection activeCell="BI26" sqref="BI26:BI28"/>
    </sheetView>
  </sheetViews>
  <sheetFormatPr baseColWidth="10" defaultColWidth="11.44140625" defaultRowHeight="14.4" x14ac:dyDescent="0.3"/>
  <cols>
    <col min="1" max="1" width="16.44140625" style="5" bestFit="1" customWidth="1"/>
    <col min="2" max="2" width="11.44140625" style="5"/>
    <col min="3" max="3" width="13.109375" style="5" customWidth="1"/>
    <col min="4" max="10" width="21.44140625" style="5" customWidth="1"/>
    <col min="11" max="20" width="11.44140625" style="5"/>
    <col min="21" max="21" width="13.109375" style="5" customWidth="1"/>
    <col min="22" max="22" width="22.33203125" style="5" bestFit="1" customWidth="1"/>
    <col min="23" max="24" width="11.44140625" style="5"/>
    <col min="25" max="25" width="27.109375" style="5" customWidth="1"/>
    <col min="26" max="27" width="11.44140625" style="5"/>
    <col min="28" max="28" width="15.33203125" style="5" customWidth="1"/>
    <col min="29" max="29" width="30" style="5" customWidth="1"/>
    <col min="30" max="34" width="9.109375" style="5" customWidth="1"/>
    <col min="35" max="38" width="11.44140625" style="5"/>
    <col min="39" max="39" width="16.6640625" style="5" bestFit="1" customWidth="1"/>
    <col min="40" max="40" width="59.88671875" style="5" bestFit="1" customWidth="1"/>
    <col min="41" max="41" width="25.44140625" style="5" bestFit="1" customWidth="1"/>
    <col min="42" max="46" width="10.44140625" style="5" customWidth="1"/>
    <col min="47" max="48" width="11.44140625" style="5"/>
    <col min="49" max="49" width="29.44140625" style="5" bestFit="1" customWidth="1"/>
    <col min="50" max="50" width="23.88671875" style="5" bestFit="1" customWidth="1"/>
    <col min="51" max="51" width="15" style="5" bestFit="1" customWidth="1"/>
    <col min="52" max="52" width="11.88671875" style="5" bestFit="1" customWidth="1"/>
    <col min="53" max="56" width="11.88671875" style="5" customWidth="1"/>
    <col min="57" max="57" width="15" style="5" bestFit="1" customWidth="1"/>
    <col min="58" max="58" width="11.88671875" style="5" customWidth="1"/>
    <col min="59" max="59" width="15" style="5" bestFit="1" customWidth="1"/>
    <col min="60" max="60" width="11.88671875" style="5" customWidth="1"/>
    <col min="61" max="61" width="19" style="5" bestFit="1" customWidth="1"/>
    <col min="62" max="16384" width="11.44140625" style="5"/>
  </cols>
  <sheetData>
    <row r="2" spans="1:60" x14ac:dyDescent="0.3">
      <c r="A2" s="372" t="s">
        <v>89</v>
      </c>
      <c r="B2" s="372" t="s">
        <v>90</v>
      </c>
      <c r="C2" s="372" t="s">
        <v>91</v>
      </c>
      <c r="D2" s="372"/>
      <c r="E2" s="372"/>
      <c r="F2" s="372"/>
      <c r="G2" s="372"/>
      <c r="H2" s="372"/>
      <c r="I2" s="372"/>
      <c r="J2" s="372"/>
      <c r="AB2" s="365" t="s">
        <v>333</v>
      </c>
      <c r="AC2" s="365"/>
      <c r="AD2" s="5">
        <f>IF('Saisie maison'!G10='élts calculs lgt ind'!AI31,17,IF('Saisie maison'!G10='élts calculs lgt ind'!AI32,18,19))</f>
        <v>19</v>
      </c>
    </row>
    <row r="3" spans="1:60" x14ac:dyDescent="0.3">
      <c r="A3" s="372"/>
      <c r="B3" s="372"/>
      <c r="C3" s="376" t="s">
        <v>193</v>
      </c>
      <c r="D3" s="376"/>
      <c r="E3" s="372" t="s">
        <v>192</v>
      </c>
      <c r="F3" s="372"/>
      <c r="G3" s="372" t="s">
        <v>195</v>
      </c>
      <c r="H3" s="372"/>
      <c r="I3" s="372" t="s">
        <v>194</v>
      </c>
      <c r="J3" s="372"/>
    </row>
    <row r="4" spans="1:60" x14ac:dyDescent="0.3">
      <c r="A4" s="372"/>
      <c r="B4" s="372"/>
      <c r="C4" s="376"/>
      <c r="D4" s="376"/>
      <c r="E4" s="372"/>
      <c r="F4" s="372"/>
      <c r="G4" s="372"/>
      <c r="H4" s="372"/>
      <c r="I4" s="372"/>
      <c r="J4" s="372"/>
      <c r="K4" s="374" t="s">
        <v>201</v>
      </c>
      <c r="L4" s="375"/>
      <c r="M4" s="374" t="s">
        <v>469</v>
      </c>
      <c r="N4" s="375"/>
      <c r="O4" s="374" t="s">
        <v>470</v>
      </c>
      <c r="P4" s="375"/>
      <c r="Q4" s="374" t="s">
        <v>471</v>
      </c>
      <c r="R4" s="375"/>
      <c r="S4" s="374" t="s">
        <v>472</v>
      </c>
      <c r="T4" s="375"/>
      <c r="Y4" s="5" t="s">
        <v>385</v>
      </c>
      <c r="AD4" s="6" t="s">
        <v>199</v>
      </c>
      <c r="AE4" s="244" t="s">
        <v>466</v>
      </c>
      <c r="AF4" s="244" t="s">
        <v>200</v>
      </c>
      <c r="AG4" s="244" t="s">
        <v>467</v>
      </c>
      <c r="AH4" s="244" t="s">
        <v>468</v>
      </c>
      <c r="AM4" s="367" t="s">
        <v>170</v>
      </c>
      <c r="AN4" s="373"/>
      <c r="AO4" s="368"/>
    </row>
    <row r="5" spans="1:60" ht="15" customHeight="1" x14ac:dyDescent="0.3">
      <c r="A5" s="372"/>
      <c r="B5" s="372"/>
      <c r="C5" s="7" t="s">
        <v>92</v>
      </c>
      <c r="D5" s="7" t="s">
        <v>93</v>
      </c>
      <c r="E5" s="7" t="s">
        <v>92</v>
      </c>
      <c r="F5" s="7" t="s">
        <v>93</v>
      </c>
      <c r="G5" s="7" t="s">
        <v>92</v>
      </c>
      <c r="H5" s="7" t="s">
        <v>93</v>
      </c>
      <c r="I5" s="7" t="s">
        <v>92</v>
      </c>
      <c r="J5" s="7" t="s">
        <v>93</v>
      </c>
      <c r="K5" s="8" t="s">
        <v>159</v>
      </c>
      <c r="L5" s="8" t="s">
        <v>160</v>
      </c>
      <c r="M5" s="8" t="s">
        <v>159</v>
      </c>
      <c r="N5" s="8" t="s">
        <v>160</v>
      </c>
      <c r="O5" s="8" t="s">
        <v>159</v>
      </c>
      <c r="P5" s="8" t="s">
        <v>160</v>
      </c>
      <c r="Q5" s="8" t="s">
        <v>159</v>
      </c>
      <c r="R5" s="8" t="s">
        <v>160</v>
      </c>
      <c r="S5" s="8" t="s">
        <v>159</v>
      </c>
      <c r="T5" s="8" t="s">
        <v>160</v>
      </c>
      <c r="U5" s="9" t="s">
        <v>327</v>
      </c>
      <c r="V5" s="9" t="s">
        <v>328</v>
      </c>
      <c r="W5" s="9"/>
      <c r="X5" s="9"/>
      <c r="Y5" s="9" t="s">
        <v>386</v>
      </c>
      <c r="Z5" s="9"/>
      <c r="AB5" s="366" t="s">
        <v>162</v>
      </c>
      <c r="AC5" s="366"/>
      <c r="AD5" s="10">
        <f>IF('Saisie maison'!C4="individuel",IF('Saisie maison'!C10='élts calculs lgt ind'!AC24,IF('Saisie maison'!C6='élts calculs lgt ind'!AC26,3,4),IF('Saisie maison'!C6='élts calculs lgt ind'!AC26,5,6)),IF('Saisie maison'!C10='élts calculs lgt ind'!AC24,IF('Saisie maison'!C6='élts calculs lgt ind'!AC26,7,8),IF('Saisie maison'!C6='élts calculs lgt ind'!AC26,9,10)))</f>
        <v>10</v>
      </c>
      <c r="AE5" s="10">
        <f>IF('Saisie maison'!C4="individuel",IF('Saisie maison'!C10='élts calculs lgt ind'!AC24,IF('Saisie maison'!C6='élts calculs lgt ind'!AC26,3,4),IF('Saisie maison'!C6='élts calculs lgt ind'!AC26,5,6)),IF('Saisie maison'!C10='élts calculs lgt ind'!AC24,IF('Saisie maison'!C6='élts calculs lgt ind'!AC26,7,8),IF('Saisie maison'!C6='élts calculs lgt ind'!AC26,9,10)))</f>
        <v>10</v>
      </c>
      <c r="AF5" s="10">
        <f>IF('Saisie maison'!C4="individuel",IF('Saisie maison'!C10='élts calculs lgt ind'!AC24,IF('Saisie maison'!C6='élts calculs lgt ind'!AC26,3,4),IF('Saisie maison'!C6='élts calculs lgt ind'!AC26,5,6)),IF('Saisie maison'!C10='élts calculs lgt ind'!AC24,IF('Saisie maison'!C6='élts calculs lgt ind'!AC26,7,8),IF('Saisie maison'!C6='élts calculs lgt ind'!AC26,9,10)))</f>
        <v>10</v>
      </c>
      <c r="AG5" s="10">
        <f>IF('Saisie maison'!C4="individuel",IF('Saisie maison'!C10='élts calculs lgt ind'!AC24,IF('Saisie maison'!C6='élts calculs lgt ind'!AC26,3,4),IF('Saisie maison'!C6='élts calculs lgt ind'!AC26,5,6)),IF('Saisie maison'!C10='élts calculs lgt ind'!AC24,IF('Saisie maison'!C6='élts calculs lgt ind'!AC26,7,8),IF('Saisie maison'!C6='élts calculs lgt ind'!AC26,9,10)))</f>
        <v>10</v>
      </c>
      <c r="AH5" s="8">
        <f>IF('Saisie maison'!C4="individuel",IF('Saisie maison'!C10='élts calculs lgt ind'!AC24,IF('Saisie maison'!C6='élts calculs lgt ind'!AC26,3,4),IF('Saisie maison'!C6='élts calculs lgt ind'!AC26,5,6)),IF('Saisie maison'!C10='élts calculs lgt ind'!AC24,IF('Saisie maison'!C6='élts calculs lgt ind'!AC26,7,8),IF('Saisie maison'!C6='élts calculs lgt ind'!AC26,9,10)))</f>
        <v>10</v>
      </c>
      <c r="AK5" s="5" t="s">
        <v>211</v>
      </c>
      <c r="AL5" s="5" t="s">
        <v>212</v>
      </c>
      <c r="AM5" s="11" t="s">
        <v>478</v>
      </c>
      <c r="AN5" s="11" t="s">
        <v>39</v>
      </c>
      <c r="AO5" s="11" t="s">
        <v>215</v>
      </c>
      <c r="AT5" s="12"/>
      <c r="AU5" s="34"/>
      <c r="AV5" s="34"/>
    </row>
    <row r="6" spans="1:60" x14ac:dyDescent="0.3">
      <c r="A6" s="8" t="s">
        <v>94</v>
      </c>
      <c r="B6" s="8">
        <v>80</v>
      </c>
      <c r="C6" s="8">
        <v>7698</v>
      </c>
      <c r="D6" s="8">
        <v>5526</v>
      </c>
      <c r="E6" s="13">
        <f>C6*1.1</f>
        <v>8467.8000000000011</v>
      </c>
      <c r="F6" s="13">
        <f>D6*1.1</f>
        <v>6078.6</v>
      </c>
      <c r="G6" s="13">
        <v>5591.3333333333303</v>
      </c>
      <c r="H6" s="13">
        <v>4024.6666666666665</v>
      </c>
      <c r="I6" s="13">
        <f>G6*1.1</f>
        <v>6150.4666666666635</v>
      </c>
      <c r="J6" s="14">
        <f>H6*1.1</f>
        <v>4427.1333333333332</v>
      </c>
      <c r="K6" s="13">
        <f>600+'Saisie maison'!$C$13*7</f>
        <v>600</v>
      </c>
      <c r="L6" s="13">
        <f>1800+'Saisie maison'!$C$13*7</f>
        <v>1800</v>
      </c>
      <c r="M6" s="13">
        <f>600+'Saisie maison'!$C$14*7</f>
        <v>600</v>
      </c>
      <c r="N6" s="13">
        <f>1800+'Saisie maison'!$C$14*7</f>
        <v>1800</v>
      </c>
      <c r="O6" s="13">
        <f>600+'Saisie maison'!$C$15*7</f>
        <v>600</v>
      </c>
      <c r="P6" s="13">
        <f>1800+'Saisie maison'!$C$15*7</f>
        <v>1800</v>
      </c>
      <c r="Q6" s="13">
        <f>600+'Saisie maison'!$C$16*7</f>
        <v>600</v>
      </c>
      <c r="R6" s="13">
        <f>1800+'Saisie maison'!$C$16*7</f>
        <v>1800</v>
      </c>
      <c r="S6" s="13">
        <f>600+'Saisie maison'!$C$17*7</f>
        <v>600</v>
      </c>
      <c r="T6" s="13">
        <f>1800+'Saisie maison'!$C$17*7</f>
        <v>1800</v>
      </c>
      <c r="U6" s="15">
        <v>700</v>
      </c>
      <c r="V6" s="15">
        <f>U6/2</f>
        <v>350</v>
      </c>
      <c r="W6" s="15">
        <v>0</v>
      </c>
      <c r="X6" s="15"/>
      <c r="Y6" s="15" t="s">
        <v>387</v>
      </c>
      <c r="Z6" s="15"/>
      <c r="AB6" s="366" t="s">
        <v>161</v>
      </c>
      <c r="AC6" s="366"/>
      <c r="AD6" s="13">
        <f>VLOOKUP('Saisie maison'!C3,'élts calculs lgt ind'!A6:L67,'élts calculs lgt ind'!AD5,0)</f>
        <v>4427.1333333333332</v>
      </c>
      <c r="AE6" s="13">
        <f>VLOOKUP('Saisie maison'!C3,'élts calculs lgt ind'!A6:L67,'élts calculs lgt ind'!AD5,0)</f>
        <v>4427.1333333333332</v>
      </c>
      <c r="AF6" s="13">
        <f>VLOOKUP('Saisie maison'!C3,'élts calculs lgt ind'!A6:L67,'élts calculs lgt ind'!AD5,0)</f>
        <v>4427.1333333333332</v>
      </c>
      <c r="AG6" s="13">
        <f>VLOOKUP('Saisie maison'!C3,'élts calculs lgt ind'!A6:L67,'élts calculs lgt ind'!AD5,0)</f>
        <v>4427.1333333333332</v>
      </c>
      <c r="AH6" s="13">
        <f>VLOOKUP('Saisie maison'!C3,'élts calculs lgt ind'!A6:L67,'élts calculs lgt ind'!AD5,0)</f>
        <v>4427.1333333333332</v>
      </c>
      <c r="AJ6" s="8" t="s">
        <v>204</v>
      </c>
      <c r="AK6" s="8" t="e">
        <f>VLOOKUP('Saisie maison'!D13,'élts calculs lgt ind'!$AN$35:$AU$56,8,0)</f>
        <v>#N/A</v>
      </c>
      <c r="AL6" s="8" t="e">
        <f>VLOOKUP('Saisie maison'!E13,'élts calculs lgt ind'!AX21:BJ34,13,0)</f>
        <v>#N/A</v>
      </c>
      <c r="AM6" s="8" t="e">
        <f>IF(AND(('Saisie maison'!H13+'Saisie maison'!I13)&gt;0,('élts calculs lgt ind'!AK6="élec"),('Saisie maison'!C13&lt;70)),'Référence&amp;tarifs'!$A$8,IF(AND(('Saisie maison'!H13+'Saisie maison'!I13)&gt;0,('élts calculs lgt ind'!AK6="élec"),('élts calculs lgt ind'!AL6="élec"),('Saisie maison'!C13&gt;69)),'Référence&amp;tarifs'!$A$9,'Référence&amp;tarifs'!$A$7))</f>
        <v>#N/A</v>
      </c>
      <c r="AN6" s="8" t="e">
        <f>VLOOKUP(AM6,'Référence&amp;tarifs'!$A$6:$C$10,2,FALSE)</f>
        <v>#N/A</v>
      </c>
      <c r="AO6" s="8" t="e">
        <f>VLOOKUP(AM6,'Référence&amp;tarifs'!$A$6:$C$10,3,FALSE)</f>
        <v>#N/A</v>
      </c>
      <c r="AU6" s="35"/>
      <c r="AV6" s="35"/>
    </row>
    <row r="7" spans="1:60" x14ac:dyDescent="0.3">
      <c r="A7" s="8" t="s">
        <v>95</v>
      </c>
      <c r="B7" s="8">
        <v>47</v>
      </c>
      <c r="C7" s="8">
        <v>5083</v>
      </c>
      <c r="D7" s="8">
        <v>3534</v>
      </c>
      <c r="E7" s="13">
        <f t="shared" ref="E7:E67" si="0">C7*1.1</f>
        <v>5591.3</v>
      </c>
      <c r="F7" s="13">
        <f t="shared" ref="F7:F67" si="1">D7*1.1</f>
        <v>3887.4</v>
      </c>
      <c r="G7" s="13">
        <v>3580.3333333333335</v>
      </c>
      <c r="H7" s="13">
        <v>2503.3333333333335</v>
      </c>
      <c r="I7" s="13">
        <f t="shared" ref="I7:I67" si="2">G7*1.1</f>
        <v>3938.3666666666672</v>
      </c>
      <c r="J7" s="14">
        <f t="shared" ref="J7:J67" si="3">H7*1.1</f>
        <v>2753.666666666667</v>
      </c>
      <c r="K7" s="13">
        <f>250+'Saisie maison'!$C$13*5</f>
        <v>250</v>
      </c>
      <c r="L7" s="8">
        <f>700+'Saisie maison'!$C$13*7</f>
        <v>700</v>
      </c>
      <c r="M7" s="13">
        <f>250+'Saisie maison'!$C$14*5</f>
        <v>250</v>
      </c>
      <c r="N7" s="8">
        <f>700+'Saisie maison'!$C$14*7</f>
        <v>700</v>
      </c>
      <c r="O7" s="13">
        <f>250+'Saisie maison'!$C$15*5</f>
        <v>250</v>
      </c>
      <c r="P7" s="8">
        <f>700+'Saisie maison'!$C$15*7</f>
        <v>700</v>
      </c>
      <c r="Q7" s="13">
        <f>250+'Saisie maison'!$C$16*5</f>
        <v>250</v>
      </c>
      <c r="R7" s="8">
        <f>700+'Saisie maison'!$C$16*7</f>
        <v>700</v>
      </c>
      <c r="S7" s="13">
        <f>250+'Saisie maison'!$C$17*5</f>
        <v>250</v>
      </c>
      <c r="T7" s="8">
        <f>700+'Saisie maison'!$C$17*7</f>
        <v>700</v>
      </c>
      <c r="U7" s="15">
        <v>400</v>
      </c>
      <c r="V7" s="15">
        <f t="shared" ref="V7:V67" si="4">U7/2</f>
        <v>200</v>
      </c>
      <c r="W7" s="15">
        <v>0</v>
      </c>
      <c r="X7" s="15"/>
      <c r="Y7" s="15" t="s">
        <v>388</v>
      </c>
      <c r="Z7" s="15"/>
      <c r="AB7" s="366" t="s">
        <v>163</v>
      </c>
      <c r="AC7" s="366"/>
      <c r="AD7" s="8">
        <f>VLOOKUP('Saisie maison'!C3,'élts calculs lgt ind'!A6:L67,11,0)</f>
        <v>600</v>
      </c>
      <c r="AE7" s="8">
        <f>VLOOKUP('Saisie maison'!C3,A6:N67,13,0)</f>
        <v>600</v>
      </c>
      <c r="AF7" s="8">
        <f>VLOOKUP('Saisie maison'!C3,A6:P67,15,0)</f>
        <v>600</v>
      </c>
      <c r="AG7" s="8">
        <f>VLOOKUP('Saisie maison'!C3,A6:R67,17,0)</f>
        <v>600</v>
      </c>
      <c r="AH7" s="8">
        <f>VLOOKUP('Saisie maison'!C3,A6:T67,19,0)</f>
        <v>600</v>
      </c>
      <c r="AJ7" s="8" t="s">
        <v>205</v>
      </c>
      <c r="AK7" s="8" t="e">
        <f>VLOOKUP('Saisie maison'!D14,'élts calculs lgt ind'!$AN$35:$AU$56,8,0)</f>
        <v>#N/A</v>
      </c>
      <c r="AL7" s="8" t="e">
        <f>VLOOKUP('Saisie maison'!E14,'élts calculs lgt ind'!AX21:BJ34,13,0)</f>
        <v>#N/A</v>
      </c>
      <c r="AM7" s="8" t="e">
        <f>IF(AND(('Saisie maison'!H14+'Saisie maison'!I14)&gt;0,('élts calculs lgt ind'!AK7="élec"),('Saisie maison'!C14&lt;70)),'Référence&amp;tarifs'!$A$8,IF(AND(('Saisie maison'!H14+'Saisie maison'!I14)&gt;0,('élts calculs lgt ind'!AK7="élec"),('élts calculs lgt ind'!AL7="élec"),('Saisie maison'!C14&gt;69)),'Référence&amp;tarifs'!$A$9,'Référence&amp;tarifs'!$A$7))</f>
        <v>#N/A</v>
      </c>
      <c r="AN7" s="8" t="e">
        <f>VLOOKUP(AM7,'Référence&amp;tarifs'!$A$6:$C$10,2,FALSE)</f>
        <v>#N/A</v>
      </c>
      <c r="AO7" s="8" t="e">
        <f>VLOOKUP(AM7,'Référence&amp;tarifs'!$A$6:$C$10,3,FALSE)</f>
        <v>#N/A</v>
      </c>
      <c r="AU7" s="35"/>
      <c r="AV7" s="35"/>
    </row>
    <row r="8" spans="1:60" ht="15" thickBot="1" x14ac:dyDescent="0.35">
      <c r="A8" s="8" t="s">
        <v>96</v>
      </c>
      <c r="B8" s="8">
        <v>61</v>
      </c>
      <c r="C8" s="8">
        <v>7162</v>
      </c>
      <c r="D8" s="8">
        <v>5114</v>
      </c>
      <c r="E8" s="13">
        <f t="shared" si="0"/>
        <v>7878.2000000000007</v>
      </c>
      <c r="F8" s="13">
        <f t="shared" si="1"/>
        <v>5625.4000000000005</v>
      </c>
      <c r="G8" s="13">
        <v>5176.666666666667</v>
      </c>
      <c r="H8" s="13">
        <v>3689.6666666666665</v>
      </c>
      <c r="I8" s="13">
        <f t="shared" si="2"/>
        <v>5694.3333333333339</v>
      </c>
      <c r="J8" s="14">
        <f t="shared" si="3"/>
        <v>4058.6333333333337</v>
      </c>
      <c r="K8" s="13">
        <f>600+'Saisie maison'!$C$13*7</f>
        <v>600</v>
      </c>
      <c r="L8" s="8">
        <f>1500+'Saisie maison'!$C$13*7</f>
        <v>1500</v>
      </c>
      <c r="M8" s="13">
        <f>600+'Saisie maison'!$C$14*7</f>
        <v>600</v>
      </c>
      <c r="N8" s="8">
        <f>1500+'Saisie maison'!$C$14*7</f>
        <v>1500</v>
      </c>
      <c r="O8" s="13">
        <f>600+'Saisie maison'!$C$15*7</f>
        <v>600</v>
      </c>
      <c r="P8" s="8">
        <f>1500+'Saisie maison'!$C$15*7</f>
        <v>1500</v>
      </c>
      <c r="Q8" s="13">
        <f>600+'Saisie maison'!$C$16*7</f>
        <v>600</v>
      </c>
      <c r="R8" s="8">
        <f>1500+'Saisie maison'!$C$16*7</f>
        <v>1500</v>
      </c>
      <c r="S8" s="13">
        <f>600+'Saisie maison'!$C$17*7</f>
        <v>600</v>
      </c>
      <c r="T8" s="8">
        <f>1500+'Saisie maison'!$C$17*7</f>
        <v>1500</v>
      </c>
      <c r="U8" s="15">
        <v>700</v>
      </c>
      <c r="V8" s="15">
        <f t="shared" si="4"/>
        <v>350</v>
      </c>
      <c r="W8" s="15">
        <v>0</v>
      </c>
      <c r="X8" s="15"/>
      <c r="Y8" s="15" t="s">
        <v>389</v>
      </c>
      <c r="Z8" s="15"/>
      <c r="AB8" s="366" t="s">
        <v>164</v>
      </c>
      <c r="AC8" s="366"/>
      <c r="AD8" s="8">
        <f>VLOOKUP('Saisie maison'!C3,'élts calculs lgt ind'!A6:L67,12,0)</f>
        <v>1800</v>
      </c>
      <c r="AE8" s="8">
        <f>VLOOKUP('Saisie maison'!C3,A6:N67,14,0)</f>
        <v>1800</v>
      </c>
      <c r="AF8" s="8">
        <f>VLOOKUP('Saisie maison'!C3,A6:P67,16,0)</f>
        <v>1800</v>
      </c>
      <c r="AG8" s="8">
        <f>VLOOKUP('Saisie maison'!C3,A6:T67,18,0)</f>
        <v>1800</v>
      </c>
      <c r="AH8" s="8">
        <f>VLOOKUP('Saisie maison'!C3,A6:T67,20,0)</f>
        <v>1800</v>
      </c>
      <c r="AJ8" s="8" t="s">
        <v>206</v>
      </c>
      <c r="AK8" s="8" t="e">
        <f>VLOOKUP('Saisie maison'!D15,'élts calculs lgt ind'!$AN$35:$AU$56,8,0)</f>
        <v>#N/A</v>
      </c>
      <c r="AL8" s="8" t="e">
        <f>VLOOKUP('Saisie maison'!E15,'élts calculs lgt ind'!AX21:BJ34,13,0)</f>
        <v>#N/A</v>
      </c>
      <c r="AM8" s="8" t="e">
        <f>IF(AND(('Saisie maison'!H15+'Saisie maison'!I15)&gt;0,('élts calculs lgt ind'!AK8="élec"),('Saisie maison'!C15&lt;70)),'Référence&amp;tarifs'!$A$8,IF(AND(('Saisie maison'!H15+'Saisie maison'!I15)&gt;0,('élts calculs lgt ind'!AK8="élec"),('élts calculs lgt ind'!AL8="élec"),('Saisie maison'!C15&gt;69)),'Référence&amp;tarifs'!$A$9,'Référence&amp;tarifs'!$A$7))</f>
        <v>#N/A</v>
      </c>
      <c r="AN8" s="8" t="e">
        <f>VLOOKUP(AM8,'Référence&amp;tarifs'!$A$6:$C$10,2,FALSE)</f>
        <v>#N/A</v>
      </c>
      <c r="AO8" s="8" t="e">
        <f>VLOOKUP(AM8,'Référence&amp;tarifs'!$A$6:$C$10,3,FALSE)</f>
        <v>#N/A</v>
      </c>
      <c r="AU8" s="35"/>
      <c r="AV8" s="35"/>
      <c r="AY8" s="371" t="s">
        <v>204</v>
      </c>
      <c r="AZ8" s="371"/>
      <c r="BA8" s="371" t="s">
        <v>205</v>
      </c>
      <c r="BB8" s="371"/>
      <c r="BC8" s="371" t="s">
        <v>206</v>
      </c>
      <c r="BD8" s="371"/>
      <c r="BE8" s="371" t="s">
        <v>473</v>
      </c>
      <c r="BF8" s="371"/>
      <c r="BG8" s="371" t="s">
        <v>474</v>
      </c>
      <c r="BH8" s="371"/>
    </row>
    <row r="9" spans="1:60" ht="16.8" thickBot="1" x14ac:dyDescent="0.35">
      <c r="A9" s="8" t="s">
        <v>97</v>
      </c>
      <c r="B9" s="8">
        <v>1</v>
      </c>
      <c r="C9" s="8">
        <v>6901</v>
      </c>
      <c r="D9" s="8">
        <v>5031</v>
      </c>
      <c r="E9" s="13">
        <f t="shared" si="0"/>
        <v>7591.1</v>
      </c>
      <c r="F9" s="13">
        <f t="shared" si="1"/>
        <v>5534.1</v>
      </c>
      <c r="G9" s="13">
        <v>5088.666666666667</v>
      </c>
      <c r="H9" s="13">
        <v>3729</v>
      </c>
      <c r="I9" s="13">
        <f t="shared" si="2"/>
        <v>5597.5333333333338</v>
      </c>
      <c r="J9" s="14">
        <f t="shared" si="3"/>
        <v>4101.9000000000005</v>
      </c>
      <c r="K9" s="13">
        <f>600+'Saisie maison'!$C$13*7</f>
        <v>600</v>
      </c>
      <c r="L9" s="8">
        <f>1500+'Saisie maison'!$C$13*7</f>
        <v>1500</v>
      </c>
      <c r="M9" s="13">
        <f>600+'Saisie maison'!$C$14*7</f>
        <v>600</v>
      </c>
      <c r="N9" s="8">
        <f>1500+'Saisie maison'!$C$14*7</f>
        <v>1500</v>
      </c>
      <c r="O9" s="13">
        <f>600+'Saisie maison'!$C$15*7</f>
        <v>600</v>
      </c>
      <c r="P9" s="8">
        <f>1500+'Saisie maison'!$C$15*7</f>
        <v>1500</v>
      </c>
      <c r="Q9" s="13">
        <f>600+'Saisie maison'!$C$16*7</f>
        <v>600</v>
      </c>
      <c r="R9" s="8">
        <f>1500+'Saisie maison'!$C$16*7</f>
        <v>1500</v>
      </c>
      <c r="S9" s="13">
        <f>600+'Saisie maison'!$C$17*7</f>
        <v>600</v>
      </c>
      <c r="T9" s="8">
        <f>1500+'Saisie maison'!$C$17*7</f>
        <v>1500</v>
      </c>
      <c r="U9" s="15">
        <v>700</v>
      </c>
      <c r="V9" s="15">
        <f t="shared" si="4"/>
        <v>350</v>
      </c>
      <c r="W9" s="15">
        <v>0</v>
      </c>
      <c r="X9" s="15"/>
      <c r="Y9" s="15" t="s">
        <v>390</v>
      </c>
      <c r="Z9" s="15"/>
      <c r="AB9" s="367" t="s">
        <v>198</v>
      </c>
      <c r="AC9" s="368"/>
      <c r="AD9" s="13">
        <f>IF('Saisie maison'!C5='élts calculs lgt ind'!AC33,'élts calculs lgt ind'!AD6*(1-'élts calculs lgt ind'!AD33/100),IF('Saisie maison'!C5='élts calculs lgt ind'!AC34,'élts calculs lgt ind'!AD6*(1-'élts calculs lgt ind'!AD34/100),AD6))</f>
        <v>4427.1333333333332</v>
      </c>
      <c r="AE9" s="13">
        <f>IF('Saisie maison'!C5='élts calculs lgt ind'!AC33,'élts calculs lgt ind'!AD6*(1-'élts calculs lgt ind'!AD33/100),IF('Saisie maison'!C5='élts calculs lgt ind'!AC34,'élts calculs lgt ind'!AD6*(1-'élts calculs lgt ind'!AD34/100),AD6))</f>
        <v>4427.1333333333332</v>
      </c>
      <c r="AF9" s="13">
        <f>IF('Saisie maison'!C5='élts calculs lgt ind'!AC33,'élts calculs lgt ind'!AD6*(1-'élts calculs lgt ind'!AD33/100),IF('Saisie maison'!C5='élts calculs lgt ind'!AC34,'élts calculs lgt ind'!AD6*(1-'élts calculs lgt ind'!AD34/100),AD6))</f>
        <v>4427.1333333333332</v>
      </c>
      <c r="AG9" s="13">
        <f>IF('Saisie maison'!C5='élts calculs lgt ind'!AC33,'élts calculs lgt ind'!AD6*(1-'élts calculs lgt ind'!AD33/100),IF('Saisie maison'!C5='élts calculs lgt ind'!AC34,'élts calculs lgt ind'!AD6*(1-'élts calculs lgt ind'!AD34/100),AD6))</f>
        <v>4427.1333333333332</v>
      </c>
      <c r="AH9" s="16">
        <f>IF('Saisie maison'!C5='élts calculs lgt ind'!AC33,'élts calculs lgt ind'!AD6*(1-'élts calculs lgt ind'!AD33/100),IF('Saisie maison'!C5='élts calculs lgt ind'!AC34,'élts calculs lgt ind'!AD6*(1-'élts calculs lgt ind'!AD34/100),AD6))</f>
        <v>4427.1333333333332</v>
      </c>
      <c r="AJ9" s="8" t="s">
        <v>473</v>
      </c>
      <c r="AK9" s="8" t="e">
        <f>VLOOKUP('Saisie maison'!D16,'élts calculs lgt ind'!$AN$35:$AU$56,8,0)</f>
        <v>#N/A</v>
      </c>
      <c r="AL9" s="8" t="e">
        <f>VLOOKUP('Saisie maison'!E16,'élts calculs lgt ind'!AX21:BJ34,13,0)</f>
        <v>#N/A</v>
      </c>
      <c r="AM9" s="8" t="e">
        <f>IF(AND(('Saisie maison'!H16+'Saisie maison'!I16)&gt;0,('élts calculs lgt ind'!AK9="élec"),('Saisie maison'!C16&lt;70)),'Référence&amp;tarifs'!$A$8,IF(AND(('Saisie maison'!H16+'Saisie maison'!I16)&gt;0,('élts calculs lgt ind'!AK9="élec"),('élts calculs lgt ind'!AL9="élec"),('Saisie maison'!C16&gt;69)),'Référence&amp;tarifs'!$A$9,'Référence&amp;tarifs'!$A$7))</f>
        <v>#N/A</v>
      </c>
      <c r="AN9" s="8" t="e">
        <f>VLOOKUP(AM9,'Référence&amp;tarifs'!$A$6:$C$10,2,FALSE)</f>
        <v>#N/A</v>
      </c>
      <c r="AO9" s="8" t="e">
        <f>VLOOKUP(AM9,'Référence&amp;tarifs'!$A$6:$C$10,3,FALSE)</f>
        <v>#N/A</v>
      </c>
      <c r="AW9" s="246" t="s">
        <v>55</v>
      </c>
      <c r="AX9" s="247"/>
      <c r="AY9" s="246"/>
      <c r="AZ9" s="247"/>
      <c r="BA9" s="248"/>
      <c r="BB9" s="249"/>
      <c r="BC9" s="248"/>
      <c r="BD9" s="249"/>
      <c r="BE9" s="248"/>
      <c r="BF9" s="249"/>
      <c r="BG9" s="248"/>
      <c r="BH9" s="249"/>
    </row>
    <row r="10" spans="1:60" ht="16.2" x14ac:dyDescent="0.3">
      <c r="A10" s="8" t="s">
        <v>98</v>
      </c>
      <c r="B10" s="8">
        <v>49</v>
      </c>
      <c r="C10" s="8">
        <v>5962</v>
      </c>
      <c r="D10" s="8">
        <v>4177</v>
      </c>
      <c r="E10" s="13">
        <f t="shared" si="0"/>
        <v>6558.2000000000007</v>
      </c>
      <c r="F10" s="13">
        <f t="shared" si="1"/>
        <v>4594.7000000000007</v>
      </c>
      <c r="G10" s="13">
        <v>4232.666666666667</v>
      </c>
      <c r="H10" s="13">
        <v>2975.6666666666665</v>
      </c>
      <c r="I10" s="13">
        <f t="shared" si="2"/>
        <v>4655.9333333333343</v>
      </c>
      <c r="J10" s="14">
        <f t="shared" si="3"/>
        <v>3273.2333333333336</v>
      </c>
      <c r="K10" s="13">
        <f>500+'Saisie maison'!$C$13*6</f>
        <v>500</v>
      </c>
      <c r="L10" s="8">
        <f>1500+'Saisie maison'!$C$13*7</f>
        <v>1500</v>
      </c>
      <c r="M10" s="13">
        <f>500+'Saisie maison'!$C$14*6</f>
        <v>500</v>
      </c>
      <c r="N10" s="8">
        <f>1500+'Saisie maison'!$C$14*7</f>
        <v>1500</v>
      </c>
      <c r="O10" s="13">
        <f>500+'Saisie maison'!$C$15*6</f>
        <v>500</v>
      </c>
      <c r="P10" s="8">
        <f>1500+'Saisie maison'!$C$15*7</f>
        <v>1500</v>
      </c>
      <c r="Q10" s="13">
        <f>500+'Saisie maison'!$C$16*6</f>
        <v>500</v>
      </c>
      <c r="R10" s="8">
        <f>1500+'Saisie maison'!$C$16*7</f>
        <v>1500</v>
      </c>
      <c r="S10" s="13">
        <f>500+'Saisie maison'!$C$17*6</f>
        <v>500</v>
      </c>
      <c r="T10" s="8">
        <f>1500+'Saisie maison'!$C$17*7</f>
        <v>1500</v>
      </c>
      <c r="U10" s="15">
        <v>550</v>
      </c>
      <c r="V10" s="15">
        <f t="shared" si="4"/>
        <v>275</v>
      </c>
      <c r="W10" s="15">
        <v>0</v>
      </c>
      <c r="X10" s="15"/>
      <c r="Y10" s="15"/>
      <c r="Z10" s="15"/>
      <c r="AB10" s="370"/>
      <c r="AC10" s="366"/>
      <c r="AD10" s="8"/>
      <c r="AE10" s="8"/>
      <c r="AF10" s="8"/>
      <c r="AG10" s="8"/>
      <c r="AH10" s="8"/>
      <c r="AJ10" s="8" t="s">
        <v>474</v>
      </c>
      <c r="AK10" s="8" t="e">
        <f>VLOOKUP('Saisie maison'!D17,'élts calculs lgt ind'!$AN$35:$AU$56,8,0)</f>
        <v>#N/A</v>
      </c>
      <c r="AL10" s="8" t="e">
        <f>VLOOKUP('Saisie maison'!E17,'élts calculs lgt ind'!AX21:BJ34,13,0)</f>
        <v>#N/A</v>
      </c>
      <c r="AM10" s="8" t="e">
        <f>IF(AND(('Saisie maison'!H17+'Saisie maison'!I17)&gt;0,('élts calculs lgt ind'!AK10="élec"),('Saisie maison'!C17&lt;70)),'Référence&amp;tarifs'!$A$8,IF(AND(('Saisie maison'!H17+'Saisie maison'!I17)&gt;0,('élts calculs lgt ind'!AK10="élec"),('élts calculs lgt ind'!AL10="élec"),('Saisie maison'!C17&gt;69)),'Référence&amp;tarifs'!$A$9,'Référence&amp;tarifs'!$A$7))</f>
        <v>#N/A</v>
      </c>
      <c r="AN10" s="8" t="e">
        <f>VLOOKUP(AM10,'Référence&amp;tarifs'!$A$6:$C$10,2,FALSE)</f>
        <v>#N/A</v>
      </c>
      <c r="AO10" s="8" t="e">
        <f>VLOOKUP(AM10,'Référence&amp;tarifs'!$A$6:$C$10,3,FALSE)</f>
        <v>#N/A</v>
      </c>
      <c r="AW10" s="36" t="s">
        <v>47</v>
      </c>
      <c r="AX10" s="245" t="s">
        <v>48</v>
      </c>
      <c r="AY10" s="36" t="s">
        <v>56</v>
      </c>
      <c r="AZ10" s="37" t="s">
        <v>49</v>
      </c>
      <c r="BA10" s="36" t="s">
        <v>56</v>
      </c>
      <c r="BB10" s="37" t="s">
        <v>49</v>
      </c>
      <c r="BC10" s="36" t="s">
        <v>56</v>
      </c>
      <c r="BD10" s="37" t="s">
        <v>49</v>
      </c>
      <c r="BE10" s="36" t="s">
        <v>56</v>
      </c>
      <c r="BF10" s="37" t="s">
        <v>49</v>
      </c>
      <c r="BG10" s="36" t="s">
        <v>56</v>
      </c>
      <c r="BH10" s="37" t="s">
        <v>49</v>
      </c>
    </row>
    <row r="11" spans="1:60" x14ac:dyDescent="0.3">
      <c r="A11" s="8" t="s">
        <v>99</v>
      </c>
      <c r="B11" s="8">
        <v>89</v>
      </c>
      <c r="C11" s="8">
        <v>7234</v>
      </c>
      <c r="D11" s="8">
        <v>5197</v>
      </c>
      <c r="E11" s="13">
        <f t="shared" si="0"/>
        <v>7957.4000000000005</v>
      </c>
      <c r="F11" s="13">
        <f t="shared" si="1"/>
        <v>5716.7000000000007</v>
      </c>
      <c r="G11" s="13">
        <v>5258.333333333333</v>
      </c>
      <c r="H11" s="13">
        <v>3779.3333333333335</v>
      </c>
      <c r="I11" s="13">
        <f t="shared" si="2"/>
        <v>5784.166666666667</v>
      </c>
      <c r="J11" s="14">
        <f t="shared" si="3"/>
        <v>4157.2666666666673</v>
      </c>
      <c r="K11" s="13">
        <f>500+'Saisie maison'!$C$13*6</f>
        <v>500</v>
      </c>
      <c r="L11" s="8">
        <f>1500+'Saisie maison'!$C$13*7</f>
        <v>1500</v>
      </c>
      <c r="M11" s="13">
        <f>500+'Saisie maison'!$C$14*6</f>
        <v>500</v>
      </c>
      <c r="N11" s="8">
        <f>1500+'Saisie maison'!$C$14*7</f>
        <v>1500</v>
      </c>
      <c r="O11" s="13">
        <f>500+'Saisie maison'!$C$15*6</f>
        <v>500</v>
      </c>
      <c r="P11" s="8">
        <f>1500+'Saisie maison'!$C$15*7</f>
        <v>1500</v>
      </c>
      <c r="Q11" s="13">
        <f>500+'Saisie maison'!$C$16*6</f>
        <v>500</v>
      </c>
      <c r="R11" s="8">
        <f>1500+'Saisie maison'!$C$16*7</f>
        <v>1500</v>
      </c>
      <c r="S11" s="13">
        <f>500+'Saisie maison'!$C$17*6</f>
        <v>500</v>
      </c>
      <c r="T11" s="8">
        <f>1500+'Saisie maison'!$C$17*7</f>
        <v>1500</v>
      </c>
      <c r="U11" s="15">
        <v>550</v>
      </c>
      <c r="V11" s="15">
        <f t="shared" si="4"/>
        <v>275</v>
      </c>
      <c r="W11" s="15">
        <v>0</v>
      </c>
      <c r="X11" s="15"/>
      <c r="Y11" s="15"/>
      <c r="Z11" s="15"/>
      <c r="AB11" s="366"/>
      <c r="AC11" s="366"/>
      <c r="AD11" s="8"/>
      <c r="AE11" s="8"/>
      <c r="AF11" s="8"/>
      <c r="AG11" s="8"/>
      <c r="AH11" s="8"/>
      <c r="AJ11" s="8"/>
      <c r="AK11" s="8"/>
      <c r="AL11" s="8"/>
      <c r="AM11" s="8"/>
      <c r="AN11" s="8"/>
      <c r="AO11" s="8"/>
      <c r="AW11" s="38" t="s">
        <v>57</v>
      </c>
      <c r="AX11" s="257">
        <v>13</v>
      </c>
      <c r="AY11" s="260">
        <f>IF('Saisie maison'!$H13+'Saisie maison'!$I13&gt;0,$AX$11+2*('Saisie maison'!$H13+'Saisie maison'!$I13-1),0)</f>
        <v>0</v>
      </c>
      <c r="AZ11" s="250">
        <f>AY11*'Saisie maison'!$G$6</f>
        <v>0</v>
      </c>
      <c r="BA11" s="260">
        <f>IF('Saisie maison'!$H14+'Saisie maison'!$I14&gt;0,$AX$11+2*('Saisie maison'!$H14+'Saisie maison'!$I14-1),0)</f>
        <v>0</v>
      </c>
      <c r="BB11" s="250">
        <f>BA11*'Saisie maison'!$G$6</f>
        <v>0</v>
      </c>
      <c r="BC11" s="260">
        <f>IF('Saisie maison'!$H15+'Saisie maison'!$I15&gt;0,$AX$11+2*('Saisie maison'!$H15+'Saisie maison'!$I15-1),0)</f>
        <v>0</v>
      </c>
      <c r="BD11" s="250">
        <f>BC11*'Saisie maison'!$G$6</f>
        <v>0</v>
      </c>
      <c r="BE11" s="252">
        <f>IF('Saisie maison'!H16+'Saisie maison'!I16&gt;0,AX11+2*('Saisie maison'!H16+'Saisie maison'!I16-1),0)</f>
        <v>0</v>
      </c>
      <c r="BF11" s="253">
        <f>BE11*'Saisie maison'!$G$6</f>
        <v>0</v>
      </c>
      <c r="BG11" s="252">
        <f>IF('Saisie maison'!H17+'Saisie maison'!I17&gt;0,AX11+2*('Saisie maison'!H17+'Saisie maison'!I17-1),0)</f>
        <v>0</v>
      </c>
      <c r="BH11" s="253">
        <f>BG11*'Saisie maison'!$G$6</f>
        <v>0</v>
      </c>
    </row>
    <row r="12" spans="1:60" x14ac:dyDescent="0.3">
      <c r="A12" s="8" t="s">
        <v>100</v>
      </c>
      <c r="B12" s="8">
        <v>60</v>
      </c>
      <c r="C12" s="8">
        <v>7813</v>
      </c>
      <c r="D12" s="8">
        <v>5620</v>
      </c>
      <c r="E12" s="13">
        <f t="shared" si="0"/>
        <v>8594.3000000000011</v>
      </c>
      <c r="F12" s="13">
        <f t="shared" si="1"/>
        <v>6182.0000000000009</v>
      </c>
      <c r="G12" s="13">
        <v>5686</v>
      </c>
      <c r="H12" s="13">
        <v>4106.333333333333</v>
      </c>
      <c r="I12" s="13">
        <f t="shared" si="2"/>
        <v>6254.6</v>
      </c>
      <c r="J12" s="14">
        <f t="shared" si="3"/>
        <v>4516.9666666666672</v>
      </c>
      <c r="K12" s="13">
        <f>500+'Saisie maison'!$C$13*6</f>
        <v>500</v>
      </c>
      <c r="L12" s="8">
        <f>1500+'Saisie maison'!$C$13*7</f>
        <v>1500</v>
      </c>
      <c r="M12" s="13">
        <f>500+'Saisie maison'!$C$14*6</f>
        <v>500</v>
      </c>
      <c r="N12" s="8">
        <f>1500+'Saisie maison'!$C$14*7</f>
        <v>1500</v>
      </c>
      <c r="O12" s="13">
        <f>500+'Saisie maison'!$C$15*6</f>
        <v>500</v>
      </c>
      <c r="P12" s="8">
        <f>1500+'Saisie maison'!$C$15*7</f>
        <v>1500</v>
      </c>
      <c r="Q12" s="13">
        <f>500+'Saisie maison'!$C$16*6</f>
        <v>500</v>
      </c>
      <c r="R12" s="8">
        <f>1500+'Saisie maison'!$C$16*7</f>
        <v>1500</v>
      </c>
      <c r="S12" s="13">
        <f>500+'Saisie maison'!$C$17*6</f>
        <v>500</v>
      </c>
      <c r="T12" s="8">
        <f>1500+'Saisie maison'!$C$17*7</f>
        <v>1500</v>
      </c>
      <c r="U12" s="15">
        <v>550</v>
      </c>
      <c r="V12" s="15">
        <f t="shared" si="4"/>
        <v>275</v>
      </c>
      <c r="W12" s="15">
        <v>0</v>
      </c>
      <c r="X12" s="15"/>
      <c r="Y12" s="15"/>
      <c r="Z12" s="15"/>
      <c r="AB12" s="8"/>
      <c r="AC12" s="8"/>
      <c r="AD12" s="8"/>
      <c r="AE12" s="8"/>
      <c r="AF12" s="8"/>
      <c r="AG12" s="8"/>
      <c r="AH12" s="8"/>
      <c r="AW12" s="40" t="s">
        <v>50</v>
      </c>
      <c r="AX12" s="258">
        <v>5</v>
      </c>
      <c r="AY12" s="260">
        <f>('Saisie maison'!$H13+'Saisie maison'!$I13)*$AX$12</f>
        <v>0</v>
      </c>
      <c r="AZ12" s="250">
        <f>AY12*'Saisie maison'!$G$6</f>
        <v>0</v>
      </c>
      <c r="BA12" s="260">
        <f>('Saisie maison'!$H14+'Saisie maison'!$I14)*$AX$12</f>
        <v>0</v>
      </c>
      <c r="BB12" s="250">
        <f>BA12*'Saisie maison'!$G$6</f>
        <v>0</v>
      </c>
      <c r="BC12" s="260">
        <f>('Saisie maison'!$H15+'Saisie maison'!$I15)*$AX$12</f>
        <v>0</v>
      </c>
      <c r="BD12" s="250">
        <f>BC12*'Saisie maison'!$G$6</f>
        <v>0</v>
      </c>
      <c r="BE12" s="252">
        <f>('Saisie maison'!H16+'Saisie maison'!I16)*AX12</f>
        <v>0</v>
      </c>
      <c r="BF12" s="253">
        <f>BE12*'Saisie maison'!$G$6</f>
        <v>0</v>
      </c>
      <c r="BG12" s="252">
        <f>('Saisie maison'!H17+'Saisie maison'!I17)*AX12</f>
        <v>0</v>
      </c>
      <c r="BH12" s="253">
        <f>BG12*'Saisie maison'!$G$6</f>
        <v>0</v>
      </c>
    </row>
    <row r="13" spans="1:60" x14ac:dyDescent="0.3">
      <c r="A13" s="8" t="s">
        <v>101</v>
      </c>
      <c r="B13" s="8">
        <v>25</v>
      </c>
      <c r="C13" s="8">
        <v>7173</v>
      </c>
      <c r="D13" s="8">
        <v>5234</v>
      </c>
      <c r="E13" s="13">
        <f t="shared" si="0"/>
        <v>7890.3000000000011</v>
      </c>
      <c r="F13" s="13">
        <f t="shared" si="1"/>
        <v>5757.4000000000005</v>
      </c>
      <c r="G13" s="13">
        <v>5293.666666666667</v>
      </c>
      <c r="H13" s="13">
        <v>3878.3333333333335</v>
      </c>
      <c r="I13" s="13">
        <f t="shared" si="2"/>
        <v>5823.0333333333338</v>
      </c>
      <c r="J13" s="14">
        <f t="shared" si="3"/>
        <v>4266.166666666667</v>
      </c>
      <c r="K13" s="13">
        <f>500+'Saisie maison'!$C$13*6</f>
        <v>500</v>
      </c>
      <c r="L13" s="8">
        <f>1500+'Saisie maison'!$C$13*7</f>
        <v>1500</v>
      </c>
      <c r="M13" s="13">
        <f>500+'Saisie maison'!$C$14*6</f>
        <v>500</v>
      </c>
      <c r="N13" s="8">
        <f>1500+'Saisie maison'!$C$14*7</f>
        <v>1500</v>
      </c>
      <c r="O13" s="13">
        <f>500+'Saisie maison'!$C$15*6</f>
        <v>500</v>
      </c>
      <c r="P13" s="8">
        <f>1500+'Saisie maison'!$C$15*7</f>
        <v>1500</v>
      </c>
      <c r="Q13" s="13">
        <f>500+'Saisie maison'!$C$16*6</f>
        <v>500</v>
      </c>
      <c r="R13" s="8">
        <f>1500+'Saisie maison'!$C$16*7</f>
        <v>1500</v>
      </c>
      <c r="S13" s="13">
        <f>500+'Saisie maison'!$C$17*6</f>
        <v>500</v>
      </c>
      <c r="T13" s="8">
        <f>1500+'Saisie maison'!$C$17*7</f>
        <v>1500</v>
      </c>
      <c r="U13" s="15">
        <v>550</v>
      </c>
      <c r="V13" s="15">
        <f t="shared" si="4"/>
        <v>275</v>
      </c>
      <c r="W13" s="15">
        <v>0</v>
      </c>
      <c r="X13" s="15"/>
      <c r="Y13" s="15"/>
      <c r="Z13" s="15"/>
      <c r="AB13" s="366" t="s">
        <v>165</v>
      </c>
      <c r="AC13" s="366"/>
      <c r="AD13" s="13">
        <f>AD9-IF('Saisie maison'!F13='élts calculs lgt ind'!AC37,'élts calculs lgt ind'!AD7,IF('Saisie maison'!F13='élts calculs lgt ind'!AC38,'élts calculs lgt ind'!AD8,IF('Saisie maison'!F13=AC35,-AD7,0)))</f>
        <v>4427.1333333333332</v>
      </c>
      <c r="AE13" s="13">
        <f>AE9-IF('Saisie maison'!F14='élts calculs lgt ind'!AC37,'élts calculs lgt ind'!AE7,IF('Saisie maison'!F14='élts calculs lgt ind'!AC38,'élts calculs lgt ind'!AE8,IF('Saisie maison'!F14=AC35,-AE7,0)))</f>
        <v>4427.1333333333332</v>
      </c>
      <c r="AF13" s="13">
        <f>AF9-IF('Saisie maison'!F15='élts calculs lgt ind'!AC37,'élts calculs lgt ind'!AF7,IF('Saisie maison'!F15='élts calculs lgt ind'!AC38,'élts calculs lgt ind'!AF8,IF('Saisie maison'!F15=AC35,-AF7,0)))</f>
        <v>4427.1333333333332</v>
      </c>
      <c r="AG13" s="13">
        <f>AG9-IF('Saisie maison'!F16='élts calculs lgt ind'!AC37,'élts calculs lgt ind'!AG7,IF('Saisie maison'!F16='élts calculs lgt ind'!AC38,'élts calculs lgt ind'!AG8,IF('Saisie maison'!F16=AC35,-AG7,0)))</f>
        <v>4427.1333333333332</v>
      </c>
      <c r="AH13" s="13">
        <f>AH9-IF('Saisie maison'!F17='élts calculs lgt ind'!AC37,'élts calculs lgt ind'!AH7,IF('Saisie maison'!F17='élts calculs lgt ind'!AC38,'élts calculs lgt ind'!AH8,IF('Saisie maison'!F17=AC35,-AH7,0)))</f>
        <v>4427.1333333333332</v>
      </c>
      <c r="AM13" s="366" t="s">
        <v>171</v>
      </c>
      <c r="AN13" s="366"/>
      <c r="AO13" s="366"/>
      <c r="AW13" s="40" t="s">
        <v>51</v>
      </c>
      <c r="AX13" s="258">
        <v>7</v>
      </c>
      <c r="AY13" s="260">
        <f>IF('Saisie maison'!$H13+'Saisie maison'!$I13&gt;0,$AX$13+('Saisie maison'!$H13+'Saisie maison'!$I13-1)*3,0)</f>
        <v>0</v>
      </c>
      <c r="AZ13" s="250">
        <f>AY13*'Saisie maison'!$G$6</f>
        <v>0</v>
      </c>
      <c r="BA13" s="260">
        <f>IF('Saisie maison'!$H14+'Saisie maison'!$I14&gt;0,$AX$13+('Saisie maison'!$H14+'Saisie maison'!$I14-1)*3,0)</f>
        <v>0</v>
      </c>
      <c r="BB13" s="250">
        <f>BA13*'Saisie maison'!$G$6</f>
        <v>0</v>
      </c>
      <c r="BC13" s="260">
        <f>IF('Saisie maison'!$H15+'Saisie maison'!$I15&gt;0,$AX$13+('Saisie maison'!$H15+'Saisie maison'!$I15-1)*3,0)</f>
        <v>0</v>
      </c>
      <c r="BD13" s="250">
        <f>BC13*'Saisie maison'!$G$6</f>
        <v>0</v>
      </c>
      <c r="BE13" s="252">
        <f>IF('Saisie maison'!H16+'Saisie maison'!I16&gt;0,AX13+('Saisie maison'!H16+'Saisie maison'!I16-1)*3,0)</f>
        <v>0</v>
      </c>
      <c r="BF13" s="253">
        <f>BE13*'Saisie maison'!$G$6</f>
        <v>0</v>
      </c>
      <c r="BG13" s="252">
        <f>IF('Saisie maison'!H17+'Saisie maison'!I17&gt;0,AX13+('Saisie maison'!H17+'Saisie maison'!I17-1)*3,0)</f>
        <v>0</v>
      </c>
      <c r="BH13" s="253">
        <f>BG13*'Saisie maison'!$G$6</f>
        <v>0</v>
      </c>
    </row>
    <row r="14" spans="1:60" x14ac:dyDescent="0.3">
      <c r="A14" s="8" t="s">
        <v>102</v>
      </c>
      <c r="B14" s="8">
        <v>64</v>
      </c>
      <c r="C14" s="8">
        <v>3372</v>
      </c>
      <c r="D14" s="8">
        <v>2217</v>
      </c>
      <c r="E14" s="13">
        <f t="shared" si="0"/>
        <v>3709.2000000000003</v>
      </c>
      <c r="F14" s="13">
        <f t="shared" si="1"/>
        <v>2438.7000000000003</v>
      </c>
      <c r="G14" s="13">
        <v>2254.3333333333335</v>
      </c>
      <c r="H14" s="13">
        <v>1397.6666666666667</v>
      </c>
      <c r="I14" s="13">
        <f t="shared" si="2"/>
        <v>2479.7666666666669</v>
      </c>
      <c r="J14" s="14">
        <f t="shared" si="3"/>
        <v>1537.4333333333336</v>
      </c>
      <c r="K14" s="13">
        <f>250+'Saisie maison'!$C$13*5</f>
        <v>250</v>
      </c>
      <c r="L14" s="8">
        <f>700+'Saisie maison'!$C$13*7</f>
        <v>700</v>
      </c>
      <c r="M14" s="13">
        <f>250+'Saisie maison'!$C$14*5</f>
        <v>250</v>
      </c>
      <c r="N14" s="8">
        <f>700+'Saisie maison'!$C$14*7</f>
        <v>700</v>
      </c>
      <c r="O14" s="13">
        <f>250+'Saisie maison'!$C$15*5</f>
        <v>250</v>
      </c>
      <c r="P14" s="8">
        <f>700+'Saisie maison'!$C$15*7</f>
        <v>700</v>
      </c>
      <c r="Q14" s="13">
        <f>250+'Saisie maison'!$C$16*5</f>
        <v>250</v>
      </c>
      <c r="R14" s="8">
        <f>700+'Saisie maison'!$C$16*7</f>
        <v>700</v>
      </c>
      <c r="S14" s="13">
        <f>250+'Saisie maison'!$C$17*5</f>
        <v>250</v>
      </c>
      <c r="T14" s="8">
        <f>700+'Saisie maison'!$C$17*7</f>
        <v>700</v>
      </c>
      <c r="U14" s="15">
        <v>400</v>
      </c>
      <c r="V14" s="15">
        <f t="shared" si="4"/>
        <v>200</v>
      </c>
      <c r="W14" s="15">
        <v>0</v>
      </c>
      <c r="X14" s="15"/>
      <c r="Y14" s="15"/>
      <c r="Z14" s="15"/>
      <c r="AB14" s="366" t="s">
        <v>166</v>
      </c>
      <c r="AC14" s="366"/>
      <c r="AD14" s="8"/>
      <c r="AE14" s="8"/>
      <c r="AF14" s="8"/>
      <c r="AG14" s="8"/>
      <c r="AH14" s="8"/>
      <c r="AM14" s="17" t="s">
        <v>46</v>
      </c>
      <c r="AN14" s="18" t="s">
        <v>39</v>
      </c>
      <c r="AO14" s="18" t="s">
        <v>40</v>
      </c>
      <c r="AW14" s="40" t="s">
        <v>52</v>
      </c>
      <c r="AX14" s="258">
        <v>7</v>
      </c>
      <c r="AY14" s="260">
        <f>IF('Saisie maison'!$H13+'Saisie maison'!$I13&gt;0,$AX$14+('Saisie maison'!$H13+'Saisie maison'!$I13-1)*2,0)</f>
        <v>0</v>
      </c>
      <c r="AZ14" s="250">
        <f>AY14*'Saisie maison'!$G$6</f>
        <v>0</v>
      </c>
      <c r="BA14" s="260">
        <f>IF('Saisie maison'!$H14+'Saisie maison'!$I14&gt;0,$AX$14+('Saisie maison'!$H14+'Saisie maison'!$I14-1)*2,0)</f>
        <v>0</v>
      </c>
      <c r="BB14" s="250">
        <f>BA14*'Saisie maison'!$G$6</f>
        <v>0</v>
      </c>
      <c r="BC14" s="260">
        <f>IF('Saisie maison'!$H15+'Saisie maison'!$I15&gt;0,$AX$14+('Saisie maison'!$H15+'Saisie maison'!$I15-1)*2,0)</f>
        <v>0</v>
      </c>
      <c r="BD14" s="250">
        <f>BC14*'Saisie maison'!$G$6</f>
        <v>0</v>
      </c>
      <c r="BE14" s="252">
        <f>IF('Saisie maison'!H16+'Saisie maison'!I16&gt;0,AX14+('Saisie maison'!H16+'Saisie maison'!I16-1)*2,0)</f>
        <v>0</v>
      </c>
      <c r="BF14" s="253">
        <f>BE14*'Saisie maison'!$G$6</f>
        <v>0</v>
      </c>
      <c r="BG14" s="252">
        <f>IF('Saisie maison'!H17+'Saisie maison'!I17&gt;0,AX14+('Saisie maison'!H17+'Saisie maison'!I17-1)*2,0)</f>
        <v>0</v>
      </c>
      <c r="BH14" s="253">
        <f>BG14*'Saisie maison'!$G$6</f>
        <v>0</v>
      </c>
    </row>
    <row r="15" spans="1:60" x14ac:dyDescent="0.3">
      <c r="A15" s="8" t="s">
        <v>103</v>
      </c>
      <c r="B15" s="8">
        <v>33</v>
      </c>
      <c r="C15" s="8">
        <v>5574</v>
      </c>
      <c r="D15" s="8">
        <v>3787</v>
      </c>
      <c r="E15" s="13">
        <f t="shared" si="0"/>
        <v>6131.4000000000005</v>
      </c>
      <c r="F15" s="13">
        <f t="shared" si="1"/>
        <v>4165.7000000000007</v>
      </c>
      <c r="G15" s="13">
        <v>3837.6666666666665</v>
      </c>
      <c r="H15" s="13">
        <v>1431</v>
      </c>
      <c r="I15" s="13">
        <f t="shared" si="2"/>
        <v>4221.4333333333334</v>
      </c>
      <c r="J15" s="14">
        <f t="shared" si="3"/>
        <v>1574.1000000000001</v>
      </c>
      <c r="K15" s="13">
        <f>250+'Saisie maison'!$C$13*5</f>
        <v>250</v>
      </c>
      <c r="L15" s="8">
        <f>700+'Saisie maison'!$C$13*7</f>
        <v>700</v>
      </c>
      <c r="M15" s="13">
        <f>250+'Saisie maison'!$C$14*5</f>
        <v>250</v>
      </c>
      <c r="N15" s="8">
        <f>700+'Saisie maison'!$C$14*7</f>
        <v>700</v>
      </c>
      <c r="O15" s="13">
        <f>250+'Saisie maison'!$C$15*5</f>
        <v>250</v>
      </c>
      <c r="P15" s="8">
        <f>700+'Saisie maison'!$C$15*7</f>
        <v>700</v>
      </c>
      <c r="Q15" s="13">
        <f>250+'Saisie maison'!$C$16*5</f>
        <v>250</v>
      </c>
      <c r="R15" s="8">
        <f>700+'Saisie maison'!$C$16*7</f>
        <v>700</v>
      </c>
      <c r="S15" s="13">
        <f>250+'Saisie maison'!$C$17*5</f>
        <v>250</v>
      </c>
      <c r="T15" s="8">
        <f>700+'Saisie maison'!$C$17*7</f>
        <v>700</v>
      </c>
      <c r="U15" s="15">
        <v>400</v>
      </c>
      <c r="V15" s="15">
        <f t="shared" si="4"/>
        <v>200</v>
      </c>
      <c r="W15" s="15">
        <v>0</v>
      </c>
      <c r="X15" s="15"/>
      <c r="Y15" s="15"/>
      <c r="Z15" s="15"/>
      <c r="AB15" s="370" t="s">
        <v>167</v>
      </c>
      <c r="AC15" s="366"/>
      <c r="AD15" s="8">
        <f>IF('Saisie maison'!$C13&gt;83,('Saisie maison'!$C13-83)*70,('Saisie maison'!$C13-83)*50)</f>
        <v>-4150</v>
      </c>
      <c r="AE15" s="8">
        <f>IF('Saisie maison'!$C14&gt;83,('Saisie maison'!$C14-83)*70,('Saisie maison'!$C14-83)*50)</f>
        <v>-4150</v>
      </c>
      <c r="AF15" s="8">
        <f>IF('Saisie maison'!$C15&gt;83,('Saisie maison'!$C15-83)*70,('Saisie maison'!$C15-83)*50)</f>
        <v>-4150</v>
      </c>
      <c r="AG15" s="8">
        <f>IF('Saisie maison'!$C16&gt;83,('Saisie maison'!$C16-83)*70,('Saisie maison'!$C16-83)*50)</f>
        <v>-4150</v>
      </c>
      <c r="AH15" s="8">
        <f>IF('Saisie maison'!$C17&gt;83,('Saisie maison'!$C17-83)*70,('Saisie maison'!$C17-83)*50)</f>
        <v>-4150</v>
      </c>
      <c r="AK15" s="33" t="e">
        <f>IF(AK6="gaz",AD18,0)+IF(AL6="gaz",AY35/'élts calculs lgt ind'!BI30,0)+IF('Saisie maison'!G13="gaz de ville",'élts calculs lgt ind'!AN29,0)</f>
        <v>#N/A</v>
      </c>
      <c r="AL15" s="8" t="s">
        <v>204</v>
      </c>
      <c r="AM15" s="8" t="e">
        <f>IF(AK15&lt;1000,'Référence&amp;tarifs'!$A$16,IF(AK15&gt;6000,'Référence&amp;tarifs'!$A$18,'Référence&amp;tarifs'!$A$17))</f>
        <v>#N/A</v>
      </c>
      <c r="AN15" s="8" t="e">
        <f>VLOOKUP(AM15,'Référence&amp;tarifs'!$A$16:$C$18,2,FALSE)</f>
        <v>#N/A</v>
      </c>
      <c r="AO15" s="8" t="e">
        <f>VLOOKUP(AM15,'Référence&amp;tarifs'!$A$16:$C$18,3,FALSE)</f>
        <v>#N/A</v>
      </c>
      <c r="AW15" s="40" t="s">
        <v>53</v>
      </c>
      <c r="AX15" s="258">
        <v>7</v>
      </c>
      <c r="AY15" s="260">
        <f>$AX$15*('Saisie maison'!$H13+'Saisie maison'!$I13)</f>
        <v>0</v>
      </c>
      <c r="AZ15" s="250">
        <f>AY15*'Saisie maison'!$G$6</f>
        <v>0</v>
      </c>
      <c r="BA15" s="260">
        <f>$AX$15*('Saisie maison'!$H14+'Saisie maison'!$I14)</f>
        <v>0</v>
      </c>
      <c r="BB15" s="250">
        <f>BA15*'Saisie maison'!$G$6</f>
        <v>0</v>
      </c>
      <c r="BC15" s="260">
        <f>$AX$15*('Saisie maison'!$H15+'Saisie maison'!$I15)</f>
        <v>0</v>
      </c>
      <c r="BD15" s="250">
        <f>BC15*'Saisie maison'!$G$6</f>
        <v>0</v>
      </c>
      <c r="BE15" s="252">
        <f>AX15*('Saisie maison'!H16+'Saisie maison'!I16)</f>
        <v>0</v>
      </c>
      <c r="BF15" s="253">
        <f>BE15*'Saisie maison'!$G$6</f>
        <v>0</v>
      </c>
      <c r="BG15" s="252">
        <f>AX15*('Saisie maison'!H17+'Saisie maison'!I17)</f>
        <v>0</v>
      </c>
      <c r="BH15" s="253">
        <f>BG15*'Saisie maison'!$G$6</f>
        <v>0</v>
      </c>
    </row>
    <row r="16" spans="1:60" ht="15" thickBot="1" x14ac:dyDescent="0.35">
      <c r="A16" s="8" t="s">
        <v>104</v>
      </c>
      <c r="B16" s="8">
        <v>18</v>
      </c>
      <c r="C16" s="8">
        <v>6849</v>
      </c>
      <c r="D16" s="8">
        <v>4996</v>
      </c>
      <c r="E16" s="13">
        <f t="shared" si="0"/>
        <v>7533.9000000000005</v>
      </c>
      <c r="F16" s="13">
        <f t="shared" si="1"/>
        <v>5495.6</v>
      </c>
      <c r="G16" s="13">
        <v>4945.666666666667</v>
      </c>
      <c r="H16" s="13">
        <v>3522.6666666666665</v>
      </c>
      <c r="I16" s="13">
        <f t="shared" si="2"/>
        <v>5440.2333333333345</v>
      </c>
      <c r="J16" s="14">
        <f t="shared" si="3"/>
        <v>3874.9333333333334</v>
      </c>
      <c r="K16" s="13">
        <f>500+'Saisie maison'!$C$13*6</f>
        <v>500</v>
      </c>
      <c r="L16" s="8">
        <f>1500+'Saisie maison'!$C$13*7</f>
        <v>1500</v>
      </c>
      <c r="M16" s="13">
        <f>500+'Saisie maison'!$C$14*6</f>
        <v>500</v>
      </c>
      <c r="N16" s="8">
        <f>1500+'Saisie maison'!$C$14*7</f>
        <v>1500</v>
      </c>
      <c r="O16" s="13">
        <f>500+'Saisie maison'!$C$15*6</f>
        <v>500</v>
      </c>
      <c r="P16" s="8">
        <f>1500+'Saisie maison'!$C$15*7</f>
        <v>1500</v>
      </c>
      <c r="Q16" s="13">
        <f>500+'Saisie maison'!$C$16*6</f>
        <v>500</v>
      </c>
      <c r="R16" s="8">
        <f>1500+'Saisie maison'!$C$16*7</f>
        <v>1500</v>
      </c>
      <c r="S16" s="13">
        <f>500+'Saisie maison'!$C$17*6</f>
        <v>500</v>
      </c>
      <c r="T16" s="8">
        <f>1500+'Saisie maison'!$C$17*7</f>
        <v>1500</v>
      </c>
      <c r="U16" s="15">
        <v>550</v>
      </c>
      <c r="V16" s="15">
        <f t="shared" si="4"/>
        <v>275</v>
      </c>
      <c r="W16" s="15">
        <v>0</v>
      </c>
      <c r="X16" s="15"/>
      <c r="Y16" s="15"/>
      <c r="Z16" s="15"/>
      <c r="AB16" s="367" t="s">
        <v>329</v>
      </c>
      <c r="AC16" s="368"/>
      <c r="AD16" s="13">
        <f>VLOOKUP('Saisie maison'!C3,'élts calculs lgt ind'!A6:W67,'élts calculs lgt ind'!AD2,0)*(1-((83-'Saisie maison'!C13)/100))</f>
        <v>102.00000000000003</v>
      </c>
      <c r="AE16" s="13">
        <f>VLOOKUP('Saisie maison'!C3,'élts calculs lgt ind'!A6:W67,'élts calculs lgt ind'!AD2,0)*(1-((83-'Saisie maison'!C14)/100))</f>
        <v>102.00000000000003</v>
      </c>
      <c r="AF16" s="13">
        <f>VLOOKUP('Saisie maison'!C3,'élts calculs lgt ind'!A6:W67,'élts calculs lgt ind'!AD2,0)*(1-((83-'Saisie maison'!C15)/100))</f>
        <v>102.00000000000003</v>
      </c>
      <c r="AG16" s="8">
        <f>VLOOKUP('Saisie maison'!C3,'élts calculs lgt ind'!A6:W67,'élts calculs lgt ind'!AD2,0)*(1-((83-'Saisie maison'!C16)/100))</f>
        <v>102.00000000000003</v>
      </c>
      <c r="AH16" s="8">
        <f>VLOOKUP('Saisie maison'!C3,'élts calculs lgt ind'!A6:W67,'élts calculs lgt ind'!AD2,0)*(1-((83-'Saisie maison'!C17)/100))</f>
        <v>102.00000000000003</v>
      </c>
      <c r="AK16" s="33" t="e">
        <f>IF(AK7="gaz",AE18,0)+IF(AL7="gaz",AY35/'élts calculs lgt ind'!BI30,0)+IF('Saisie maison'!G14="gaz de ville",'élts calculs lgt ind'!AN30,0)</f>
        <v>#N/A</v>
      </c>
      <c r="AL16" s="8" t="s">
        <v>205</v>
      </c>
      <c r="AM16" s="8" t="e">
        <f>IF(AK16&lt;1000,'Référence&amp;tarifs'!$A$16,IF(AK16&gt;6000,'Référence&amp;tarifs'!$A$18,'Référence&amp;tarifs'!$A$17))</f>
        <v>#N/A</v>
      </c>
      <c r="AN16" s="8" t="e">
        <f>VLOOKUP(AM16,'Référence&amp;tarifs'!$A$16:$C$18,2,FALSE)</f>
        <v>#N/A</v>
      </c>
      <c r="AO16" s="8" t="e">
        <f>VLOOKUP(AM16,'Référence&amp;tarifs'!$A$16:$C$18,3,FALSE)</f>
        <v>#N/A</v>
      </c>
      <c r="AW16" s="41" t="s">
        <v>54</v>
      </c>
      <c r="AX16" s="259">
        <f>SUM(AX11:AX15)</f>
        <v>39</v>
      </c>
      <c r="AY16" s="41">
        <f>SUM(AY11:AY15)</f>
        <v>0</v>
      </c>
      <c r="AZ16" s="251">
        <f>SUM(AZ11:AZ15)</f>
        <v>0</v>
      </c>
      <c r="BA16" s="41">
        <f>SUM(BA11:BA15)</f>
        <v>0</v>
      </c>
      <c r="BB16" s="261">
        <f>BA16*'Saisie maison'!$G$6</f>
        <v>0</v>
      </c>
      <c r="BC16" s="41">
        <f>SUM(BC11:BC15)</f>
        <v>0</v>
      </c>
      <c r="BD16" s="261">
        <f>BC16*'Saisie maison'!$G$6</f>
        <v>0</v>
      </c>
      <c r="BE16" s="254">
        <f>SUM(BE11:BE15)</f>
        <v>0</v>
      </c>
      <c r="BF16" s="255">
        <f>BE16*'Saisie maison'!$G$6</f>
        <v>0</v>
      </c>
      <c r="BG16" s="254">
        <f>SUM(BG11:BG15)</f>
        <v>0</v>
      </c>
      <c r="BH16" s="256">
        <f>SUM(BH11:BH15)</f>
        <v>0</v>
      </c>
    </row>
    <row r="17" spans="1:62" x14ac:dyDescent="0.3">
      <c r="A17" s="8" t="s">
        <v>105</v>
      </c>
      <c r="B17" s="8">
        <v>29</v>
      </c>
      <c r="C17" s="8">
        <v>5708</v>
      </c>
      <c r="D17" s="8">
        <v>3928</v>
      </c>
      <c r="E17" s="13">
        <f t="shared" si="0"/>
        <v>6278.8</v>
      </c>
      <c r="F17" s="13">
        <f t="shared" si="1"/>
        <v>4320.8</v>
      </c>
      <c r="G17" s="13">
        <v>3982.6666666666665</v>
      </c>
      <c r="H17" s="13">
        <v>2938.6666666666665</v>
      </c>
      <c r="I17" s="13">
        <f t="shared" si="2"/>
        <v>4380.9333333333334</v>
      </c>
      <c r="J17" s="14">
        <f t="shared" si="3"/>
        <v>3232.5333333333333</v>
      </c>
      <c r="K17" s="13">
        <f>500+'Saisie maison'!$C$13*6</f>
        <v>500</v>
      </c>
      <c r="L17" s="8">
        <f>1500+'Saisie maison'!$C$13*7</f>
        <v>1500</v>
      </c>
      <c r="M17" s="13">
        <f>500+'Saisie maison'!$C$14*6</f>
        <v>500</v>
      </c>
      <c r="N17" s="8">
        <f>1500+'Saisie maison'!$C$14*7</f>
        <v>1500</v>
      </c>
      <c r="O17" s="13">
        <f>500+'Saisie maison'!$C$15*6</f>
        <v>500</v>
      </c>
      <c r="P17" s="8">
        <f>1500+'Saisie maison'!$C$15*7</f>
        <v>1500</v>
      </c>
      <c r="Q17" s="13">
        <f>500+'Saisie maison'!$C$16*6</f>
        <v>500</v>
      </c>
      <c r="R17" s="8">
        <f>1500+'Saisie maison'!$C$16*7</f>
        <v>1500</v>
      </c>
      <c r="S17" s="13">
        <f>500+'Saisie maison'!$C$17*6</f>
        <v>500</v>
      </c>
      <c r="T17" s="8">
        <f>1500+'Saisie maison'!$C$17*7</f>
        <v>1500</v>
      </c>
      <c r="U17" s="15">
        <v>550</v>
      </c>
      <c r="V17" s="15">
        <f t="shared" si="4"/>
        <v>275</v>
      </c>
      <c r="W17" s="15">
        <v>0</v>
      </c>
      <c r="X17" s="15"/>
      <c r="Y17" s="15"/>
      <c r="Z17" s="15"/>
      <c r="AB17" s="369" t="s">
        <v>334</v>
      </c>
      <c r="AC17" s="369"/>
      <c r="AD17" s="13">
        <f t="shared" ref="AD17:AF17" si="5">AD13+AD15+AD16</f>
        <v>379.13333333333321</v>
      </c>
      <c r="AE17" s="13">
        <f t="shared" si="5"/>
        <v>379.13333333333321</v>
      </c>
      <c r="AF17" s="13">
        <f t="shared" si="5"/>
        <v>379.13333333333321</v>
      </c>
      <c r="AG17" s="13">
        <f>AG13+AG15+AG16</f>
        <v>379.13333333333321</v>
      </c>
      <c r="AH17" s="13">
        <f>AH13+AH15+AH16</f>
        <v>379.13333333333321</v>
      </c>
      <c r="AK17" s="33" t="e">
        <f>IF(AK8="gaz",AF18,0)+IF(AL8="gaz",AY35/'élts calculs lgt ind'!BI30,0)+IF('Saisie maison'!G15="gaz de ville",'élts calculs lgt ind'!AN31,0)</f>
        <v>#N/A</v>
      </c>
      <c r="AL17" s="8" t="s">
        <v>206</v>
      </c>
      <c r="AM17" s="8" t="e">
        <f>IF(AK17&lt;1000,'Référence&amp;tarifs'!$A$16,IF(AK17&gt;6000,'Référence&amp;tarifs'!$A$18,'Référence&amp;tarifs'!$A$17))</f>
        <v>#N/A</v>
      </c>
      <c r="AN17" s="8" t="e">
        <f>VLOOKUP(AM17,'Référence&amp;tarifs'!$A$16:$C$18,2,FALSE)</f>
        <v>#N/A</v>
      </c>
      <c r="AO17" s="8" t="e">
        <f>VLOOKUP(AM17,'Référence&amp;tarifs'!$A$16:$C$18,3,FALSE)</f>
        <v>#N/A</v>
      </c>
    </row>
    <row r="18" spans="1:62" x14ac:dyDescent="0.3">
      <c r="A18" s="8" t="s">
        <v>106</v>
      </c>
      <c r="B18" s="8">
        <v>14</v>
      </c>
      <c r="C18" s="8">
        <v>6663</v>
      </c>
      <c r="D18" s="8">
        <v>4698</v>
      </c>
      <c r="E18" s="13">
        <f t="shared" si="0"/>
        <v>7329.3</v>
      </c>
      <c r="F18" s="13">
        <f t="shared" si="1"/>
        <v>5167.8</v>
      </c>
      <c r="G18" s="13">
        <v>4759.333333333333</v>
      </c>
      <c r="H18" s="13">
        <v>3353.6666666666665</v>
      </c>
      <c r="I18" s="13">
        <f t="shared" si="2"/>
        <v>5235.2666666666664</v>
      </c>
      <c r="J18" s="14">
        <f t="shared" si="3"/>
        <v>3689.0333333333333</v>
      </c>
      <c r="K18" s="13">
        <f>600+'Saisie maison'!$C$13*7</f>
        <v>600</v>
      </c>
      <c r="L18" s="13">
        <f>1800+'Saisie maison'!$C$13*7</f>
        <v>1800</v>
      </c>
      <c r="M18" s="13">
        <f>600+'Saisie maison'!$C$14*7</f>
        <v>600</v>
      </c>
      <c r="N18" s="13">
        <f>1800+'Saisie maison'!$C$14*7</f>
        <v>1800</v>
      </c>
      <c r="O18" s="13">
        <f>600+'Saisie maison'!$C$15*7</f>
        <v>600</v>
      </c>
      <c r="P18" s="13">
        <f>1800+'Saisie maison'!$C$15*7</f>
        <v>1800</v>
      </c>
      <c r="Q18" s="13">
        <f>600+'Saisie maison'!$C$16*7</f>
        <v>600</v>
      </c>
      <c r="R18" s="13">
        <f>1800+'Saisie maison'!$C$16*7</f>
        <v>1800</v>
      </c>
      <c r="S18" s="13">
        <f>600+'Saisie maison'!$C$17*7</f>
        <v>600</v>
      </c>
      <c r="T18" s="13">
        <f>1800+'Saisie maison'!$C$17*7</f>
        <v>1800</v>
      </c>
      <c r="U18" s="15">
        <v>700</v>
      </c>
      <c r="V18" s="15">
        <f t="shared" si="4"/>
        <v>350</v>
      </c>
      <c r="W18" s="15">
        <v>0</v>
      </c>
      <c r="X18" s="15"/>
      <c r="Y18" s="15"/>
      <c r="Z18" s="15"/>
      <c r="AB18" s="366" t="s">
        <v>168</v>
      </c>
      <c r="AC18" s="366"/>
      <c r="AD18" s="13" t="e">
        <f>AD17/VLOOKUP('Saisie maison'!D13,'élts calculs lgt ind'!$AN$35:$AU$56,2,FALSE)</f>
        <v>#N/A</v>
      </c>
      <c r="AE18" s="13" t="e">
        <f>AE17/VLOOKUP('Saisie maison'!D14,'élts calculs lgt ind'!$AN$35:$AU$56,2,FALSE)</f>
        <v>#N/A</v>
      </c>
      <c r="AF18" s="13" t="e">
        <f>AF17/VLOOKUP('Saisie maison'!D15,'élts calculs lgt ind'!$AN$35:$AU$56,2,FALSE)</f>
        <v>#N/A</v>
      </c>
      <c r="AG18" s="13" t="e">
        <f>AG17/VLOOKUP('Saisie maison'!D16,'élts calculs lgt ind'!$AN$35:$AU$56,2,FALSE)</f>
        <v>#N/A</v>
      </c>
      <c r="AH18" s="13" t="e">
        <f>AH17/VLOOKUP('Saisie maison'!D17,'élts calculs lgt ind'!$AN$35:$AU$56,2,FALSE)</f>
        <v>#N/A</v>
      </c>
      <c r="AK18" s="5" t="e">
        <f>IF(AK9="gaz",AG18,0)+IF(AL9="gaz",AY35/'élts calculs lgt ind'!BI30,0)+IF('Saisie maison'!G16="gaz de ville",AN32,0)</f>
        <v>#N/A</v>
      </c>
      <c r="AL18" s="8" t="s">
        <v>473</v>
      </c>
      <c r="AM18" s="8" t="e">
        <f>IF(AK18&lt;1000,'Référence&amp;tarifs'!$A$16,IF(AK18&gt;6000,'Référence&amp;tarifs'!$A$18,'Référence&amp;tarifs'!$A$17))</f>
        <v>#N/A</v>
      </c>
      <c r="AN18" s="8" t="e">
        <f>VLOOKUP(AM18,'Référence&amp;tarifs'!$A$16:$C$18,2,FALSE)</f>
        <v>#N/A</v>
      </c>
      <c r="AO18" s="8" t="e">
        <f>VLOOKUP(AM18,'Référence&amp;tarifs'!$A$16:$C$18,3,FALSE)</f>
        <v>#N/A</v>
      </c>
    </row>
    <row r="19" spans="1:62" x14ac:dyDescent="0.3">
      <c r="A19" s="8" t="s">
        <v>107</v>
      </c>
      <c r="B19" s="8">
        <v>28</v>
      </c>
      <c r="C19" s="8">
        <v>7424</v>
      </c>
      <c r="D19" s="8">
        <v>5322</v>
      </c>
      <c r="E19" s="13">
        <f t="shared" si="0"/>
        <v>8166.4000000000005</v>
      </c>
      <c r="F19" s="13">
        <f t="shared" si="1"/>
        <v>5854.2000000000007</v>
      </c>
      <c r="G19" s="13">
        <v>5385.666666666667</v>
      </c>
      <c r="H19" s="13">
        <v>3862.3333333333335</v>
      </c>
      <c r="I19" s="13">
        <f t="shared" si="2"/>
        <v>5924.2333333333345</v>
      </c>
      <c r="J19" s="14">
        <f t="shared" si="3"/>
        <v>4248.5666666666675</v>
      </c>
      <c r="K19" s="13">
        <f>500+'Saisie maison'!$C$13*6</f>
        <v>500</v>
      </c>
      <c r="L19" s="8">
        <f>1500+'Saisie maison'!$C$13*7</f>
        <v>1500</v>
      </c>
      <c r="M19" s="13">
        <f>500+'Saisie maison'!$C$14*6</f>
        <v>500</v>
      </c>
      <c r="N19" s="8">
        <f>1500+'Saisie maison'!$C$14*7</f>
        <v>1500</v>
      </c>
      <c r="O19" s="13">
        <f>500+'Saisie maison'!$C$15*6</f>
        <v>500</v>
      </c>
      <c r="P19" s="8">
        <f>1500+'Saisie maison'!$C$15*7</f>
        <v>1500</v>
      </c>
      <c r="Q19" s="13">
        <f>500+'Saisie maison'!$C$16*6</f>
        <v>500</v>
      </c>
      <c r="R19" s="8">
        <f>1500+'Saisie maison'!$C$16*7</f>
        <v>1500</v>
      </c>
      <c r="S19" s="13">
        <f>500+'Saisie maison'!$C$17*6</f>
        <v>500</v>
      </c>
      <c r="T19" s="8">
        <f>1500+'Saisie maison'!$C$17*7</f>
        <v>1500</v>
      </c>
      <c r="U19" s="15">
        <v>550</v>
      </c>
      <c r="V19" s="15">
        <f t="shared" si="4"/>
        <v>275</v>
      </c>
      <c r="W19" s="15">
        <v>0</v>
      </c>
      <c r="X19" s="15"/>
      <c r="Y19" s="15"/>
      <c r="Z19" s="15"/>
      <c r="AB19" s="366" t="s">
        <v>169</v>
      </c>
      <c r="AC19" s="366"/>
      <c r="AD19" s="23" t="e">
        <f>AD18*VLOOKUP('Saisie maison'!D13,'élts calculs lgt ind'!$AN$37:$AT$56,3,FALSE)+IF(AK6="gaz",AN15,0)</f>
        <v>#N/A</v>
      </c>
      <c r="AE19" s="23" t="e">
        <f>AE18*VLOOKUP('Saisie maison'!D14,'élts calculs lgt ind'!$AN$37:$AT$56,3,FALSE)+IF(AK7="gaz",AN15,0)</f>
        <v>#N/A</v>
      </c>
      <c r="AF19" s="23" t="e">
        <f>AF18*VLOOKUP('Saisie maison'!D15,'élts calculs lgt ind'!$AN$37:$AT$56,3,FALSE)+IF(AK8="gaz",AN15,0)</f>
        <v>#N/A</v>
      </c>
      <c r="AG19" s="24" t="e">
        <f>AG18*VLOOKUP('Saisie maison'!D16,'élts calculs lgt ind'!$AN$37:$AT$56,4,FALSE)+IF(AK9="gaz",AN18,0)</f>
        <v>#N/A</v>
      </c>
      <c r="AH19" s="24" t="e">
        <f>AH18*VLOOKUP('Saisie maison'!D17,'élts calculs lgt ind'!$AN$37:$AT$56,5,FALSE)+IF(AK10="gaz",AN19,0)</f>
        <v>#N/A</v>
      </c>
      <c r="AK19" s="5" t="e">
        <f>IF(AK10="gaz",AH18,0)+IF(AL10="gaz",AY35/'élts calculs lgt ind'!BI30,0)+IF('Saisie maison'!G17="gaz de ville",AN33,0)</f>
        <v>#N/A</v>
      </c>
      <c r="AL19" s="8" t="s">
        <v>474</v>
      </c>
      <c r="AM19" s="8" t="e">
        <f>IF(AK19&lt;1000,'Référence&amp;tarifs'!$A$16,IF(AK19&gt;6000,'Référence&amp;tarifs'!$A$18,'Référence&amp;tarifs'!$A$17))</f>
        <v>#N/A</v>
      </c>
      <c r="AN19" s="8" t="e">
        <f>VLOOKUP(AM19,'Référence&amp;tarifs'!$A$16:$C$18,2,FALSE)</f>
        <v>#N/A</v>
      </c>
      <c r="AO19" s="8" t="e">
        <f>VLOOKUP(AM19,'Référence&amp;tarifs'!$A$16:$C$18,3,FALSE)</f>
        <v>#N/A</v>
      </c>
      <c r="AY19" s="366" t="s">
        <v>204</v>
      </c>
      <c r="AZ19" s="366"/>
      <c r="BA19" s="366" t="s">
        <v>205</v>
      </c>
      <c r="BB19" s="366"/>
      <c r="BC19" s="366" t="s">
        <v>206</v>
      </c>
      <c r="BD19" s="366"/>
      <c r="BE19" s="366" t="s">
        <v>473</v>
      </c>
      <c r="BF19" s="366"/>
      <c r="BG19" s="366" t="s">
        <v>474</v>
      </c>
      <c r="BH19" s="366"/>
    </row>
    <row r="20" spans="1:62" x14ac:dyDescent="0.3">
      <c r="A20" s="8" t="s">
        <v>108</v>
      </c>
      <c r="B20" s="8">
        <v>36</v>
      </c>
      <c r="C20" s="8">
        <v>6984</v>
      </c>
      <c r="D20" s="8">
        <v>5168</v>
      </c>
      <c r="E20" s="13">
        <f t="shared" si="0"/>
        <v>7682.4000000000005</v>
      </c>
      <c r="F20" s="13">
        <f t="shared" si="1"/>
        <v>5684.8</v>
      </c>
      <c r="G20" s="13">
        <v>5056.666666666667</v>
      </c>
      <c r="H20" s="13">
        <v>3609.6666666666665</v>
      </c>
      <c r="I20" s="13">
        <f t="shared" si="2"/>
        <v>5562.3333333333339</v>
      </c>
      <c r="J20" s="14">
        <f t="shared" si="3"/>
        <v>3970.6333333333337</v>
      </c>
      <c r="K20" s="13">
        <f>500+'Saisie maison'!$C$13*6</f>
        <v>500</v>
      </c>
      <c r="L20" s="8">
        <f>1500+'Saisie maison'!$C$13*7</f>
        <v>1500</v>
      </c>
      <c r="M20" s="13">
        <f>500+'Saisie maison'!$C$14*6</f>
        <v>500</v>
      </c>
      <c r="N20" s="8">
        <f>1500+'Saisie maison'!$C$14*7</f>
        <v>1500</v>
      </c>
      <c r="O20" s="13">
        <f>500+'Saisie maison'!$C$15*6</f>
        <v>500</v>
      </c>
      <c r="P20" s="8">
        <f>1500+'Saisie maison'!$C$15*7</f>
        <v>1500</v>
      </c>
      <c r="Q20" s="13">
        <f>500+'Saisie maison'!$C$16*6</f>
        <v>500</v>
      </c>
      <c r="R20" s="8">
        <f>1500+'Saisie maison'!$C$16*7</f>
        <v>1500</v>
      </c>
      <c r="S20" s="13">
        <f>500+'Saisie maison'!$C$17*6</f>
        <v>500</v>
      </c>
      <c r="T20" s="8">
        <f>1500+'Saisie maison'!$C$17*7</f>
        <v>1500</v>
      </c>
      <c r="U20" s="15">
        <v>550</v>
      </c>
      <c r="V20" s="15">
        <f t="shared" si="4"/>
        <v>275</v>
      </c>
      <c r="W20" s="15">
        <v>0</v>
      </c>
      <c r="X20" s="15"/>
      <c r="Y20" s="15"/>
      <c r="Z20" s="15"/>
      <c r="AM20" s="19"/>
      <c r="AY20" s="26" t="s">
        <v>59</v>
      </c>
      <c r="AZ20" s="8" t="s">
        <v>60</v>
      </c>
      <c r="BA20" s="26" t="s">
        <v>59</v>
      </c>
      <c r="BB20" s="8" t="s">
        <v>60</v>
      </c>
      <c r="BC20" s="26" t="s">
        <v>59</v>
      </c>
      <c r="BD20" s="8" t="s">
        <v>60</v>
      </c>
      <c r="BE20" s="26" t="s">
        <v>59</v>
      </c>
      <c r="BF20" s="8" t="s">
        <v>60</v>
      </c>
      <c r="BG20" s="26" t="s">
        <v>59</v>
      </c>
      <c r="BH20" s="8" t="s">
        <v>60</v>
      </c>
      <c r="BI20" s="42" t="s">
        <v>61</v>
      </c>
      <c r="BJ20" s="42" t="s">
        <v>210</v>
      </c>
    </row>
    <row r="21" spans="1:62" x14ac:dyDescent="0.3">
      <c r="A21" s="8" t="s">
        <v>109</v>
      </c>
      <c r="B21" s="8">
        <v>63</v>
      </c>
      <c r="C21" s="8">
        <v>6193</v>
      </c>
      <c r="D21" s="8">
        <v>4425</v>
      </c>
      <c r="E21" s="13">
        <f t="shared" si="0"/>
        <v>6812.3</v>
      </c>
      <c r="F21" s="13">
        <f t="shared" si="1"/>
        <v>4867.5</v>
      </c>
      <c r="G21" s="13">
        <v>4481</v>
      </c>
      <c r="H21" s="13">
        <v>3222.3333333333335</v>
      </c>
      <c r="I21" s="13">
        <f t="shared" si="2"/>
        <v>4929.1000000000004</v>
      </c>
      <c r="J21" s="14">
        <f t="shared" si="3"/>
        <v>3544.5666666666671</v>
      </c>
      <c r="K21" s="13">
        <f>500+'Saisie maison'!$C$13*6</f>
        <v>500</v>
      </c>
      <c r="L21" s="8">
        <f>1500+'Saisie maison'!$C$13*7</f>
        <v>1500</v>
      </c>
      <c r="M21" s="13">
        <f>500+'Saisie maison'!$C$14*6</f>
        <v>500</v>
      </c>
      <c r="N21" s="8">
        <f>1500+'Saisie maison'!$C$14*7</f>
        <v>1500</v>
      </c>
      <c r="O21" s="13">
        <f>500+'Saisie maison'!$C$15*6</f>
        <v>500</v>
      </c>
      <c r="P21" s="8">
        <f>1500+'Saisie maison'!$C$15*7</f>
        <v>1500</v>
      </c>
      <c r="Q21" s="13">
        <f>500+'Saisie maison'!$C$16*6</f>
        <v>500</v>
      </c>
      <c r="R21" s="8">
        <f>1500+'Saisie maison'!$C$16*7</f>
        <v>1500</v>
      </c>
      <c r="S21" s="13">
        <f>500+'Saisie maison'!$C$17*6</f>
        <v>500</v>
      </c>
      <c r="T21" s="8">
        <f>1500+'Saisie maison'!$C$17*7</f>
        <v>1500</v>
      </c>
      <c r="U21" s="15">
        <v>550</v>
      </c>
      <c r="V21" s="15">
        <f t="shared" si="4"/>
        <v>275</v>
      </c>
      <c r="W21" s="15">
        <v>0</v>
      </c>
      <c r="X21" s="15"/>
      <c r="Y21" s="15"/>
      <c r="Z21" s="15"/>
      <c r="AN21" s="20" t="s">
        <v>269</v>
      </c>
      <c r="AO21" s="21" t="s">
        <v>213</v>
      </c>
      <c r="AP21" s="22"/>
      <c r="AQ21" s="22"/>
      <c r="AR21" s="22"/>
      <c r="AW21" s="377" t="s">
        <v>322</v>
      </c>
      <c r="AX21" s="32" t="s">
        <v>181</v>
      </c>
      <c r="AY21" s="8" t="e">
        <f>$AO6</f>
        <v>#N/A</v>
      </c>
      <c r="AZ21" s="24" t="e">
        <f>($AY$35/$BI21)*AY21</f>
        <v>#N/A</v>
      </c>
      <c r="BA21" s="8" t="e">
        <f>$AO7</f>
        <v>#N/A</v>
      </c>
      <c r="BB21" s="24" t="e">
        <f>($BA$35/$BI21)*BA21</f>
        <v>#N/A</v>
      </c>
      <c r="BC21" s="8" t="e">
        <f>$AO8</f>
        <v>#N/A</v>
      </c>
      <c r="BD21" s="24" t="e">
        <f>($BC$35/$BI21)*BC21</f>
        <v>#N/A</v>
      </c>
      <c r="BE21" s="43" t="e">
        <f>AO9</f>
        <v>#N/A</v>
      </c>
      <c r="BF21" s="24" t="e">
        <f>($BE$35/BI21)*BE21</f>
        <v>#N/A</v>
      </c>
      <c r="BG21" s="8" t="e">
        <f>AO10</f>
        <v>#N/A</v>
      </c>
      <c r="BH21" s="24" t="e">
        <f>($BG$35/BI21)*BG21</f>
        <v>#N/A</v>
      </c>
      <c r="BI21" s="8">
        <v>2</v>
      </c>
      <c r="BJ21" s="8" t="s">
        <v>267</v>
      </c>
    </row>
    <row r="22" spans="1:62" x14ac:dyDescent="0.3">
      <c r="A22" s="8" t="s">
        <v>110</v>
      </c>
      <c r="B22" s="8">
        <v>16</v>
      </c>
      <c r="C22" s="8">
        <v>5056</v>
      </c>
      <c r="D22" s="8">
        <v>3504</v>
      </c>
      <c r="E22" s="13">
        <f t="shared" si="0"/>
        <v>5561.6</v>
      </c>
      <c r="F22" s="13">
        <f t="shared" si="1"/>
        <v>3854.4</v>
      </c>
      <c r="G22" s="13">
        <v>3550</v>
      </c>
      <c r="H22" s="13">
        <v>2470.6666666666665</v>
      </c>
      <c r="I22" s="13">
        <f t="shared" si="2"/>
        <v>3905.0000000000005</v>
      </c>
      <c r="J22" s="14">
        <f t="shared" si="3"/>
        <v>2717.7333333333336</v>
      </c>
      <c r="K22" s="13">
        <f>250+'Saisie maison'!$C$13*5</f>
        <v>250</v>
      </c>
      <c r="L22" s="8">
        <f>700+'Saisie maison'!$C$13*7</f>
        <v>700</v>
      </c>
      <c r="M22" s="13">
        <f>250+'Saisie maison'!$C$14*5</f>
        <v>250</v>
      </c>
      <c r="N22" s="8">
        <f>700+'Saisie maison'!$C$14*7</f>
        <v>700</v>
      </c>
      <c r="O22" s="13">
        <f>250+'Saisie maison'!$C$15*5</f>
        <v>250</v>
      </c>
      <c r="P22" s="8">
        <f>700+'Saisie maison'!$C$15*7</f>
        <v>700</v>
      </c>
      <c r="Q22" s="13">
        <f>250+'Saisie maison'!$C$16*5</f>
        <v>250</v>
      </c>
      <c r="R22" s="8">
        <f>700+'Saisie maison'!$C$16*7</f>
        <v>700</v>
      </c>
      <c r="S22" s="13">
        <f>250+'Saisie maison'!$C$17*5</f>
        <v>250</v>
      </c>
      <c r="T22" s="8">
        <f>700+'Saisie maison'!$C$17*7</f>
        <v>700</v>
      </c>
      <c r="U22" s="15">
        <v>400</v>
      </c>
      <c r="V22" s="15">
        <f t="shared" si="4"/>
        <v>200</v>
      </c>
      <c r="W22" s="15">
        <v>0</v>
      </c>
      <c r="X22" s="15"/>
      <c r="Y22" s="15"/>
      <c r="Z22" s="15"/>
      <c r="AM22" s="8" t="s">
        <v>204</v>
      </c>
      <c r="AN22" s="8">
        <f>'Saisie maison'!C13*18+('Saisie maison'!H13+'Saisie maison'!I13-1)*'Saisie maison'!C13*3.5</f>
        <v>0</v>
      </c>
      <c r="AO22" s="8" t="e">
        <f>AN22*AO6+AN6</f>
        <v>#N/A</v>
      </c>
      <c r="AS22" s="5" t="e">
        <f>AN22*AO6+AN6</f>
        <v>#N/A</v>
      </c>
      <c r="AW22" s="377"/>
      <c r="AX22" s="8" t="s">
        <v>63</v>
      </c>
      <c r="AY22" s="8">
        <f>(AP37+AP38)/2</f>
        <v>5.9499999999999997E-2</v>
      </c>
      <c r="AZ22" s="24">
        <f>($AY$35/BI22)*AY22*0.4</f>
        <v>10.021052631578948</v>
      </c>
      <c r="BA22" s="8">
        <f>AY22</f>
        <v>5.9499999999999997E-2</v>
      </c>
      <c r="BB22" s="24">
        <f>($BA$35/$BI22)*BA22*0.4</f>
        <v>10.021052631578948</v>
      </c>
      <c r="BC22" s="8">
        <f>AY22</f>
        <v>5.9499999999999997E-2</v>
      </c>
      <c r="BD22" s="24">
        <f>($BC$35/$BI22)*BC22*0.4</f>
        <v>10.021052631578948</v>
      </c>
      <c r="BE22" s="8">
        <f>AY22</f>
        <v>5.9499999999999997E-2</v>
      </c>
      <c r="BF22" s="24">
        <f>($BE$35/BI22)*BE22*0.4</f>
        <v>10.021052631578948</v>
      </c>
      <c r="BG22" s="39">
        <f>AY22</f>
        <v>5.9499999999999997E-2</v>
      </c>
      <c r="BH22" s="24">
        <f>($BG$35/BI22)*BG22*0.4</f>
        <v>10.021052631578948</v>
      </c>
      <c r="BI22" s="8">
        <v>0.95</v>
      </c>
      <c r="BJ22" s="8" t="s">
        <v>209</v>
      </c>
    </row>
    <row r="23" spans="1:62" x14ac:dyDescent="0.3">
      <c r="A23" s="8" t="s">
        <v>111</v>
      </c>
      <c r="B23" s="8">
        <v>40</v>
      </c>
      <c r="C23" s="8">
        <v>4745</v>
      </c>
      <c r="D23" s="8">
        <v>3195</v>
      </c>
      <c r="E23" s="13">
        <f t="shared" si="0"/>
        <v>5219.5</v>
      </c>
      <c r="F23" s="13">
        <f t="shared" si="1"/>
        <v>3514.5000000000005</v>
      </c>
      <c r="G23" s="13">
        <v>3240</v>
      </c>
      <c r="H23" s="13">
        <v>2159.3333333333335</v>
      </c>
      <c r="I23" s="13">
        <f t="shared" si="2"/>
        <v>3564.0000000000005</v>
      </c>
      <c r="J23" s="14">
        <f t="shared" si="3"/>
        <v>2375.2666666666669</v>
      </c>
      <c r="K23" s="13">
        <f>250+'Saisie maison'!$C$13*5</f>
        <v>250</v>
      </c>
      <c r="L23" s="8">
        <f>700+'Saisie maison'!$C$13*7</f>
        <v>700</v>
      </c>
      <c r="M23" s="13">
        <f>250+'Saisie maison'!$C$14*5</f>
        <v>250</v>
      </c>
      <c r="N23" s="8">
        <f>700+'Saisie maison'!$C$14*7</f>
        <v>700</v>
      </c>
      <c r="O23" s="13">
        <f>250+'Saisie maison'!$C$15*5</f>
        <v>250</v>
      </c>
      <c r="P23" s="8">
        <f>700+'Saisie maison'!$C$15*7</f>
        <v>700</v>
      </c>
      <c r="Q23" s="13">
        <f>250+'Saisie maison'!$C$16*5</f>
        <v>250</v>
      </c>
      <c r="R23" s="8">
        <f>700+'Saisie maison'!$C$16*7</f>
        <v>700</v>
      </c>
      <c r="S23" s="13">
        <f>250+'Saisie maison'!$C$17*5</f>
        <v>250</v>
      </c>
      <c r="T23" s="8">
        <f>700+'Saisie maison'!$C$17*7</f>
        <v>700</v>
      </c>
      <c r="U23" s="15">
        <v>400</v>
      </c>
      <c r="V23" s="15">
        <f t="shared" si="4"/>
        <v>200</v>
      </c>
      <c r="W23" s="15">
        <v>0</v>
      </c>
      <c r="X23" s="15"/>
      <c r="Y23" s="15"/>
      <c r="Z23" s="15"/>
      <c r="AC23" s="5" t="s">
        <v>196</v>
      </c>
      <c r="AM23" s="8" t="s">
        <v>205</v>
      </c>
      <c r="AN23" s="8">
        <f>'Saisie maison'!C14*18+('Saisie maison'!H14+'Saisie maison'!I14-1)*'Saisie maison'!C14*3.5</f>
        <v>0</v>
      </c>
      <c r="AO23" s="8" t="e">
        <f t="shared" ref="AO23:AO24" si="6">AN23*AO7+AN7</f>
        <v>#N/A</v>
      </c>
      <c r="AW23" s="377"/>
      <c r="AX23" s="8" t="s">
        <v>64</v>
      </c>
      <c r="AY23" s="8" t="e">
        <f>AO6</f>
        <v>#N/A</v>
      </c>
      <c r="AZ23" s="24" t="e">
        <f>($AY$35/BI23)*AY23*0.4</f>
        <v>#N/A</v>
      </c>
      <c r="BA23" s="8" t="e">
        <f>$AO7</f>
        <v>#N/A</v>
      </c>
      <c r="BB23" s="24" t="e">
        <f>($BA$35/$BI23)*BA23*0.4</f>
        <v>#N/A</v>
      </c>
      <c r="BC23" s="8" t="e">
        <f>$AO8</f>
        <v>#N/A</v>
      </c>
      <c r="BD23" s="24" t="e">
        <f t="shared" ref="BD23:BD25" si="7">($BC$35/$BI23)*BC23*0.4</f>
        <v>#N/A</v>
      </c>
      <c r="BE23" s="8" t="e">
        <f>AO9</f>
        <v>#N/A</v>
      </c>
      <c r="BF23" s="24" t="e">
        <f>($BE$35/BI23)*BE23*0.4</f>
        <v>#N/A</v>
      </c>
      <c r="BG23" s="39" t="e">
        <f>AO10</f>
        <v>#N/A</v>
      </c>
      <c r="BH23" s="24" t="e">
        <f>($BG$35/BI23)*BG23*0.4</f>
        <v>#N/A</v>
      </c>
      <c r="BI23" s="8">
        <v>0.95</v>
      </c>
      <c r="BJ23" s="8" t="s">
        <v>209</v>
      </c>
    </row>
    <row r="24" spans="1:62" x14ac:dyDescent="0.3">
      <c r="A24" s="8" t="s">
        <v>112</v>
      </c>
      <c r="B24" s="8">
        <v>21</v>
      </c>
      <c r="C24" s="8">
        <v>7055</v>
      </c>
      <c r="D24" s="8">
        <v>5150</v>
      </c>
      <c r="E24" s="13">
        <f t="shared" si="0"/>
        <v>7760.5000000000009</v>
      </c>
      <c r="F24" s="13">
        <f t="shared" si="1"/>
        <v>5665.0000000000009</v>
      </c>
      <c r="G24" s="13">
        <v>5208.333333333333</v>
      </c>
      <c r="H24" s="13">
        <v>3824.6666666666665</v>
      </c>
      <c r="I24" s="13">
        <f t="shared" si="2"/>
        <v>5729.166666666667</v>
      </c>
      <c r="J24" s="14">
        <f t="shared" si="3"/>
        <v>4207.1333333333332</v>
      </c>
      <c r="K24" s="13">
        <f>500+'Saisie maison'!$C$13*6</f>
        <v>500</v>
      </c>
      <c r="L24" s="8">
        <f>1500+'Saisie maison'!$C$13*7</f>
        <v>1500</v>
      </c>
      <c r="M24" s="13">
        <f>500+'Saisie maison'!$C$14*6</f>
        <v>500</v>
      </c>
      <c r="N24" s="8">
        <f>1500+'Saisie maison'!$C$14*7</f>
        <v>1500</v>
      </c>
      <c r="O24" s="13">
        <f>500+'Saisie maison'!$C$15*6</f>
        <v>500</v>
      </c>
      <c r="P24" s="8">
        <f>1500+'Saisie maison'!$C$15*7</f>
        <v>1500</v>
      </c>
      <c r="Q24" s="13">
        <f>500+'Saisie maison'!$C$16*6</f>
        <v>500</v>
      </c>
      <c r="R24" s="8">
        <f>1500+'Saisie maison'!$C$16*7</f>
        <v>1500</v>
      </c>
      <c r="S24" s="13">
        <f>500+'Saisie maison'!$C$17*6</f>
        <v>500</v>
      </c>
      <c r="T24" s="8">
        <f>1500+'Saisie maison'!$C$17*7</f>
        <v>1500</v>
      </c>
      <c r="U24" s="15">
        <v>550</v>
      </c>
      <c r="V24" s="15">
        <f t="shared" si="4"/>
        <v>275</v>
      </c>
      <c r="W24" s="15">
        <v>0</v>
      </c>
      <c r="X24" s="15"/>
      <c r="Y24" s="15"/>
      <c r="Z24" s="15"/>
      <c r="AC24" s="5" t="s">
        <v>197</v>
      </c>
      <c r="AM24" s="8" t="s">
        <v>206</v>
      </c>
      <c r="AN24" s="8">
        <f>'Saisie maison'!C15*18+('Saisie maison'!H15+'Saisie maison'!I15-1)*'Saisie maison'!C15*3.5</f>
        <v>0</v>
      </c>
      <c r="AO24" s="8" t="e">
        <f t="shared" si="6"/>
        <v>#N/A</v>
      </c>
      <c r="AW24" s="377"/>
      <c r="AX24" s="8" t="s">
        <v>65</v>
      </c>
      <c r="AY24" s="8">
        <f>$AP$39</f>
        <v>0.10199999999999999</v>
      </c>
      <c r="AZ24" s="24">
        <f>($AY$35/BI24)*AY24*0.4</f>
        <v>18.133333333333333</v>
      </c>
      <c r="BA24" s="8">
        <f>$AP$39</f>
        <v>0.10199999999999999</v>
      </c>
      <c r="BB24" s="24">
        <f t="shared" ref="BB24:BB25" si="8">($BA$35/$BI24)*BA24*0.4</f>
        <v>18.133333333333333</v>
      </c>
      <c r="BC24" s="8">
        <f>$AP$39</f>
        <v>0.10199999999999999</v>
      </c>
      <c r="BD24" s="24">
        <f t="shared" si="7"/>
        <v>18.133333333333333</v>
      </c>
      <c r="BE24" s="8">
        <f>AP39</f>
        <v>0.10199999999999999</v>
      </c>
      <c r="BF24" s="24">
        <f>($BE$35/BI24)*BE24*0.4</f>
        <v>18.133333333333333</v>
      </c>
      <c r="BG24" s="39">
        <f>AY24</f>
        <v>0.10199999999999999</v>
      </c>
      <c r="BH24" s="24">
        <f>($BG$35/BI24)*BG24*0.4</f>
        <v>18.133333333333333</v>
      </c>
      <c r="BI24" s="8">
        <v>0.9</v>
      </c>
      <c r="BJ24" s="8" t="s">
        <v>209</v>
      </c>
    </row>
    <row r="25" spans="1:62" x14ac:dyDescent="0.3">
      <c r="A25" s="8" t="s">
        <v>113</v>
      </c>
      <c r="B25" s="8">
        <v>5</v>
      </c>
      <c r="C25" s="8">
        <v>6705</v>
      </c>
      <c r="D25" s="8">
        <v>4758</v>
      </c>
      <c r="E25" s="13">
        <f t="shared" si="0"/>
        <v>7375.5000000000009</v>
      </c>
      <c r="F25" s="13">
        <f t="shared" si="1"/>
        <v>5233.8</v>
      </c>
      <c r="G25" s="13">
        <v>4815</v>
      </c>
      <c r="H25" s="13">
        <v>3448.3333333333335</v>
      </c>
      <c r="I25" s="13">
        <f t="shared" si="2"/>
        <v>5296.5</v>
      </c>
      <c r="J25" s="14">
        <f t="shared" si="3"/>
        <v>3793.166666666667</v>
      </c>
      <c r="K25" s="13">
        <f>600+'Saisie maison'!$C$13*7</f>
        <v>600</v>
      </c>
      <c r="L25" s="8">
        <f>1500+'Saisie maison'!$C$13*7</f>
        <v>1500</v>
      </c>
      <c r="M25" s="13">
        <f>600+'Saisie maison'!$C$14*7</f>
        <v>600</v>
      </c>
      <c r="N25" s="8">
        <f>1500+'Saisie maison'!$C$14*7</f>
        <v>1500</v>
      </c>
      <c r="O25" s="13">
        <f>600+'Saisie maison'!$C$15*7</f>
        <v>600</v>
      </c>
      <c r="P25" s="8">
        <f>1500+'Saisie maison'!$C$15*7</f>
        <v>1500</v>
      </c>
      <c r="Q25" s="13">
        <f>600+'Saisie maison'!$C$16*7</f>
        <v>600</v>
      </c>
      <c r="R25" s="8">
        <f>1500+'Saisie maison'!$C$16*7</f>
        <v>1500</v>
      </c>
      <c r="S25" s="13">
        <f>600+'Saisie maison'!$C$17*7</f>
        <v>600</v>
      </c>
      <c r="T25" s="8">
        <f>1500+'Saisie maison'!$C$17*7</f>
        <v>1500</v>
      </c>
      <c r="U25" s="15">
        <v>700</v>
      </c>
      <c r="V25" s="15">
        <f t="shared" si="4"/>
        <v>350</v>
      </c>
      <c r="W25" s="15">
        <v>0</v>
      </c>
      <c r="X25" s="15"/>
      <c r="Y25" s="15"/>
      <c r="Z25" s="15"/>
      <c r="AM25" s="8" t="s">
        <v>473</v>
      </c>
      <c r="AN25" s="8">
        <f>'Saisie maison'!C16*18+('Saisie maison'!H16+'Saisie maison'!I16-1)*'Saisie maison'!C16*3.5</f>
        <v>0</v>
      </c>
      <c r="AO25" s="24" t="e">
        <f>AN25*AO9+AN9</f>
        <v>#N/A</v>
      </c>
      <c r="AW25" s="377"/>
      <c r="AX25" s="8" t="s">
        <v>66</v>
      </c>
      <c r="AY25" s="8" t="e">
        <f>AO15</f>
        <v>#N/A</v>
      </c>
      <c r="AZ25" s="24" t="e">
        <f>($AY$35/BI25)*AY25*0.4</f>
        <v>#N/A</v>
      </c>
      <c r="BA25" s="8" t="e">
        <f>AO16</f>
        <v>#N/A</v>
      </c>
      <c r="BB25" s="24" t="e">
        <f t="shared" si="8"/>
        <v>#N/A</v>
      </c>
      <c r="BC25" s="8" t="e">
        <f>AO17</f>
        <v>#N/A</v>
      </c>
      <c r="BD25" s="24" t="e">
        <f t="shared" si="7"/>
        <v>#N/A</v>
      </c>
      <c r="BE25" s="8" t="e">
        <f>AO18</f>
        <v>#N/A</v>
      </c>
      <c r="BF25" s="24" t="e">
        <f>($BE$35/BI25)*BE25*0.4</f>
        <v>#N/A</v>
      </c>
      <c r="BG25" s="39" t="e">
        <f>AO19</f>
        <v>#N/A</v>
      </c>
      <c r="BH25" s="24" t="e">
        <f>($BG$35/BI25)*BG25*0.4</f>
        <v>#N/A</v>
      </c>
      <c r="BI25" s="8">
        <v>0.95</v>
      </c>
      <c r="BJ25" s="8" t="s">
        <v>209</v>
      </c>
    </row>
    <row r="26" spans="1:62" ht="15" customHeight="1" x14ac:dyDescent="0.3">
      <c r="A26" s="8" t="s">
        <v>114</v>
      </c>
      <c r="B26" s="8">
        <v>46</v>
      </c>
      <c r="C26" s="8">
        <v>5613</v>
      </c>
      <c r="D26" s="8">
        <v>3905</v>
      </c>
      <c r="E26" s="13">
        <f t="shared" si="0"/>
        <v>6174.3</v>
      </c>
      <c r="F26" s="13">
        <f t="shared" si="1"/>
        <v>4295.5</v>
      </c>
      <c r="G26" s="13">
        <v>3954.6666666666665</v>
      </c>
      <c r="H26" s="13">
        <v>2773.3333333333335</v>
      </c>
      <c r="I26" s="13">
        <f t="shared" si="2"/>
        <v>4350.1333333333332</v>
      </c>
      <c r="J26" s="14">
        <f t="shared" si="3"/>
        <v>3050.666666666667</v>
      </c>
      <c r="K26" s="13">
        <f>500+'Saisie maison'!$C$13*6</f>
        <v>500</v>
      </c>
      <c r="L26" s="8">
        <f>1500+'Saisie maison'!$C$13*7</f>
        <v>1500</v>
      </c>
      <c r="M26" s="13">
        <f>500+'Saisie maison'!$C$14*6</f>
        <v>500</v>
      </c>
      <c r="N26" s="8">
        <f>1500+'Saisie maison'!$C$14*7</f>
        <v>1500</v>
      </c>
      <c r="O26" s="13">
        <f>500+'Saisie maison'!$C$15*6</f>
        <v>500</v>
      </c>
      <c r="P26" s="8">
        <f>1500+'Saisie maison'!$C$15*7</f>
        <v>1500</v>
      </c>
      <c r="Q26" s="13">
        <f>500+'Saisie maison'!$C$16*6</f>
        <v>500</v>
      </c>
      <c r="R26" s="8">
        <f>1500+'Saisie maison'!$C$16*7</f>
        <v>1500</v>
      </c>
      <c r="S26" s="13">
        <f>500+'Saisie maison'!$C$17*6</f>
        <v>500</v>
      </c>
      <c r="T26" s="8">
        <f>1500+'Saisie maison'!$C$17*7</f>
        <v>1500</v>
      </c>
      <c r="U26" s="15">
        <v>550</v>
      </c>
      <c r="V26" s="15">
        <f t="shared" si="4"/>
        <v>275</v>
      </c>
      <c r="W26" s="15">
        <v>0</v>
      </c>
      <c r="X26" s="15"/>
      <c r="Y26" s="15"/>
      <c r="Z26" s="15"/>
      <c r="AC26" s="28" t="s">
        <v>459</v>
      </c>
      <c r="AM26" s="8" t="s">
        <v>474</v>
      </c>
      <c r="AN26" s="8">
        <f>'Saisie maison'!C17*18+('Saisie maison'!H17+'Saisie maison'!I17-1)*'Saisie maison'!C17*3.5</f>
        <v>0</v>
      </c>
      <c r="AO26" s="24" t="e">
        <f>AN26*AO10+AN10</f>
        <v>#N/A</v>
      </c>
      <c r="AW26" s="377"/>
      <c r="AX26" s="18" t="s">
        <v>323</v>
      </c>
      <c r="AY26" s="8" t="e">
        <f>AO6</f>
        <v>#N/A</v>
      </c>
      <c r="AZ26" s="24" t="e">
        <f>($AY$35/BI26)*AY26</f>
        <v>#N/A</v>
      </c>
      <c r="BA26" s="8" t="e">
        <f>$AO$7</f>
        <v>#N/A</v>
      </c>
      <c r="BB26" s="24" t="e">
        <f>($BA$35/$BI26)*BA26</f>
        <v>#N/A</v>
      </c>
      <c r="BC26" s="8" t="e">
        <f>$AO$8</f>
        <v>#N/A</v>
      </c>
      <c r="BD26" s="24" t="e">
        <f>($BC$35/$BI26)*BC26</f>
        <v>#N/A</v>
      </c>
      <c r="BE26" s="8" t="e">
        <f>AO9</f>
        <v>#N/A</v>
      </c>
      <c r="BF26" s="24" t="e">
        <f>($BE$35/BI26)*BE26</f>
        <v>#N/A</v>
      </c>
      <c r="BG26" s="39" t="e">
        <f>AO10</f>
        <v>#N/A</v>
      </c>
      <c r="BH26" s="24" t="e">
        <f>($BG$35/BI26)*BG26</f>
        <v>#N/A</v>
      </c>
      <c r="BI26" s="8">
        <v>0.6</v>
      </c>
      <c r="BJ26" s="8" t="s">
        <v>267</v>
      </c>
    </row>
    <row r="27" spans="1:62" ht="15" customHeight="1" x14ac:dyDescent="0.3">
      <c r="A27" s="8" t="s">
        <v>115</v>
      </c>
      <c r="B27" s="8">
        <v>38</v>
      </c>
      <c r="C27" s="8">
        <v>6860</v>
      </c>
      <c r="D27" s="8">
        <v>4954</v>
      </c>
      <c r="E27" s="13">
        <f t="shared" si="0"/>
        <v>7546.0000000000009</v>
      </c>
      <c r="F27" s="13">
        <f t="shared" si="1"/>
        <v>5449.4000000000005</v>
      </c>
      <c r="G27" s="13">
        <v>5013</v>
      </c>
      <c r="H27" s="13">
        <v>3637</v>
      </c>
      <c r="I27" s="13">
        <f t="shared" si="2"/>
        <v>5514.3</v>
      </c>
      <c r="J27" s="14">
        <f t="shared" si="3"/>
        <v>4000.7000000000003</v>
      </c>
      <c r="K27" s="13">
        <f>600+'Saisie maison'!$C$13*7</f>
        <v>600</v>
      </c>
      <c r="L27" s="13">
        <f>1800+'Saisie maison'!$C$13*7</f>
        <v>1800</v>
      </c>
      <c r="M27" s="13">
        <f>600+'Saisie maison'!$C$14*7</f>
        <v>600</v>
      </c>
      <c r="N27" s="13">
        <f>1800+'Saisie maison'!$C$14*7</f>
        <v>1800</v>
      </c>
      <c r="O27" s="13">
        <f>600+'Saisie maison'!$C$15*7</f>
        <v>600</v>
      </c>
      <c r="P27" s="13">
        <f>1800+'Saisie maison'!$C$15*7</f>
        <v>1800</v>
      </c>
      <c r="Q27" s="13">
        <f>600+'Saisie maison'!$C$16*7</f>
        <v>600</v>
      </c>
      <c r="R27" s="13">
        <f>1800+'Saisie maison'!$C$16*7</f>
        <v>1800</v>
      </c>
      <c r="S27" s="13">
        <f>600+'Saisie maison'!$C$17*7</f>
        <v>600</v>
      </c>
      <c r="T27" s="13">
        <f>1800+'Saisie maison'!$C$17*7</f>
        <v>1800</v>
      </c>
      <c r="U27" s="15">
        <v>700</v>
      </c>
      <c r="V27" s="15">
        <f t="shared" si="4"/>
        <v>350</v>
      </c>
      <c r="W27" s="15">
        <v>0</v>
      </c>
      <c r="X27" s="15"/>
      <c r="Y27" s="15"/>
      <c r="Z27" s="15"/>
      <c r="AC27" s="28" t="s">
        <v>93</v>
      </c>
      <c r="AW27" s="377"/>
      <c r="AX27" s="8" t="s">
        <v>324</v>
      </c>
      <c r="AY27" s="8" t="e">
        <f>AO6</f>
        <v>#N/A</v>
      </c>
      <c r="AZ27" s="24" t="e">
        <f>($AY$35/BI27)*AY27</f>
        <v>#N/A</v>
      </c>
      <c r="BA27" s="8" t="e">
        <f t="shared" ref="BA27:BA28" si="9">$AO$7</f>
        <v>#N/A</v>
      </c>
      <c r="BB27" s="24" t="e">
        <f>($BA$35/$BI27)*BA27</f>
        <v>#N/A</v>
      </c>
      <c r="BC27" s="8" t="e">
        <f t="shared" ref="BC27:BC28" si="10">$AO$8</f>
        <v>#N/A</v>
      </c>
      <c r="BD27" s="24" t="e">
        <f t="shared" ref="BD27:BD30" si="11">($BC$35/$BI27)*BC27</f>
        <v>#N/A</v>
      </c>
      <c r="BE27" s="8" t="e">
        <f>AO9</f>
        <v>#N/A</v>
      </c>
      <c r="BF27" s="24" t="e">
        <f>($BE$35/BI27)*BE27</f>
        <v>#N/A</v>
      </c>
      <c r="BG27" s="39" t="e">
        <f>AO10</f>
        <v>#N/A</v>
      </c>
      <c r="BH27" s="24" t="e">
        <f>($BG$35/BI27)*BG27</f>
        <v>#N/A</v>
      </c>
      <c r="BI27" s="8">
        <v>0.67</v>
      </c>
      <c r="BJ27" s="8" t="s">
        <v>267</v>
      </c>
    </row>
    <row r="28" spans="1:62" x14ac:dyDescent="0.3">
      <c r="A28" s="8" t="s">
        <v>116</v>
      </c>
      <c r="B28" s="8">
        <v>17</v>
      </c>
      <c r="C28" s="8">
        <v>4634</v>
      </c>
      <c r="D28" s="8">
        <v>3187</v>
      </c>
      <c r="E28" s="13">
        <f t="shared" si="0"/>
        <v>5097.4000000000005</v>
      </c>
      <c r="F28" s="13">
        <f t="shared" si="1"/>
        <v>3505.7000000000003</v>
      </c>
      <c r="G28" s="13">
        <v>3229.6666666666665</v>
      </c>
      <c r="H28" s="13">
        <v>2227</v>
      </c>
      <c r="I28" s="13">
        <f t="shared" si="2"/>
        <v>3552.6333333333337</v>
      </c>
      <c r="J28" s="14">
        <f t="shared" si="3"/>
        <v>2449.7000000000003</v>
      </c>
      <c r="K28" s="13">
        <f>250+'Saisie maison'!$C$13*5</f>
        <v>250</v>
      </c>
      <c r="L28" s="8">
        <f>700+'Saisie maison'!$C$13*7</f>
        <v>700</v>
      </c>
      <c r="M28" s="13">
        <f>250+'Saisie maison'!$C$14*5</f>
        <v>250</v>
      </c>
      <c r="N28" s="8">
        <f>700+'Saisie maison'!$C$14*7</f>
        <v>700</v>
      </c>
      <c r="O28" s="13">
        <f>250+'Saisie maison'!$C$15*5</f>
        <v>250</v>
      </c>
      <c r="P28" s="8">
        <f>700+'Saisie maison'!$C$15*7</f>
        <v>700</v>
      </c>
      <c r="Q28" s="13">
        <f>250+'Saisie maison'!$C$16*5</f>
        <v>250</v>
      </c>
      <c r="R28" s="8">
        <f>700+'Saisie maison'!$C$16*7</f>
        <v>700</v>
      </c>
      <c r="S28" s="13">
        <f>250+'Saisie maison'!$C$17*5</f>
        <v>250</v>
      </c>
      <c r="T28" s="8">
        <f>700+'Saisie maison'!$C$17*7</f>
        <v>700</v>
      </c>
      <c r="U28" s="15">
        <v>400</v>
      </c>
      <c r="V28" s="15">
        <f t="shared" si="4"/>
        <v>200</v>
      </c>
      <c r="W28" s="15">
        <v>0</v>
      </c>
      <c r="X28" s="15"/>
      <c r="Y28" s="15"/>
      <c r="Z28" s="15"/>
      <c r="AN28" s="20" t="s">
        <v>217</v>
      </c>
      <c r="AO28" s="26" t="s">
        <v>213</v>
      </c>
      <c r="AP28" s="27"/>
      <c r="AQ28" s="9"/>
      <c r="AR28" s="9"/>
      <c r="AW28" s="377"/>
      <c r="AX28" s="8" t="s">
        <v>325</v>
      </c>
      <c r="AY28" s="8" t="e">
        <f>AO6</f>
        <v>#N/A</v>
      </c>
      <c r="AZ28" s="24" t="e">
        <f>($AY$35/BI28)*AY28</f>
        <v>#N/A</v>
      </c>
      <c r="BA28" s="8" t="e">
        <f t="shared" si="9"/>
        <v>#N/A</v>
      </c>
      <c r="BB28" s="24" t="e">
        <f t="shared" ref="BB28:BB30" si="12">($BA$35/$BI28)*BA28</f>
        <v>#N/A</v>
      </c>
      <c r="BC28" s="8" t="e">
        <f t="shared" si="10"/>
        <v>#N/A</v>
      </c>
      <c r="BD28" s="24" t="e">
        <f t="shared" si="11"/>
        <v>#N/A</v>
      </c>
      <c r="BE28" s="8" t="e">
        <f>AO9</f>
        <v>#N/A</v>
      </c>
      <c r="BF28" s="24" t="e">
        <f>($BE$35/BI28)*BE28</f>
        <v>#N/A</v>
      </c>
      <c r="BG28" s="39" t="e">
        <f>AO10</f>
        <v>#N/A</v>
      </c>
      <c r="BH28" s="24" t="e">
        <f>($BG$35/BI28)*BG28</f>
        <v>#N/A</v>
      </c>
      <c r="BI28" s="8">
        <v>0.72</v>
      </c>
      <c r="BJ28" s="8" t="s">
        <v>267</v>
      </c>
    </row>
    <row r="29" spans="1:62" x14ac:dyDescent="0.3">
      <c r="A29" s="8" t="s">
        <v>117</v>
      </c>
      <c r="B29" s="8">
        <v>52</v>
      </c>
      <c r="C29" s="8">
        <v>8448</v>
      </c>
      <c r="D29" s="8">
        <v>6224</v>
      </c>
      <c r="E29" s="13">
        <f t="shared" si="0"/>
        <v>9292.8000000000011</v>
      </c>
      <c r="F29" s="13">
        <f t="shared" si="1"/>
        <v>6846.4000000000005</v>
      </c>
      <c r="G29" s="13">
        <v>6292</v>
      </c>
      <c r="H29" s="13">
        <v>4674.333333333333</v>
      </c>
      <c r="I29" s="13">
        <f t="shared" si="2"/>
        <v>6921.2000000000007</v>
      </c>
      <c r="J29" s="14">
        <f t="shared" si="3"/>
        <v>5141.7666666666664</v>
      </c>
      <c r="K29" s="13">
        <f>500+'Saisie maison'!$C$13*6</f>
        <v>500</v>
      </c>
      <c r="L29" s="8">
        <f>1500+'Saisie maison'!$C$13*7</f>
        <v>1500</v>
      </c>
      <c r="M29" s="13">
        <f>500+'Saisie maison'!$C$14*6</f>
        <v>500</v>
      </c>
      <c r="N29" s="8">
        <f>1500+'Saisie maison'!$C$14*7</f>
        <v>1500</v>
      </c>
      <c r="O29" s="13">
        <f>500+'Saisie maison'!$C$15*6</f>
        <v>500</v>
      </c>
      <c r="P29" s="8">
        <f>1500+'Saisie maison'!$C$15*7</f>
        <v>1500</v>
      </c>
      <c r="Q29" s="13">
        <f>500+'Saisie maison'!$C$16*6</f>
        <v>500</v>
      </c>
      <c r="R29" s="8">
        <f>1500+'Saisie maison'!$C$16*7</f>
        <v>1500</v>
      </c>
      <c r="S29" s="13">
        <f>500+'Saisie maison'!$C$17*6</f>
        <v>500</v>
      </c>
      <c r="T29" s="8">
        <f>1500+'Saisie maison'!$C$17*7</f>
        <v>1500</v>
      </c>
      <c r="U29" s="15">
        <v>550</v>
      </c>
      <c r="V29" s="15">
        <f t="shared" si="4"/>
        <v>275</v>
      </c>
      <c r="W29" s="15">
        <v>0</v>
      </c>
      <c r="X29" s="15"/>
      <c r="Y29" s="15"/>
      <c r="Z29" s="15"/>
      <c r="AC29" s="5" t="s">
        <v>179</v>
      </c>
      <c r="AJ29" s="117"/>
      <c r="AM29" s="8" t="s">
        <v>204</v>
      </c>
      <c r="AN29" s="8">
        <f>350+IF('Saisie maison'!H13+'Saisie maison'!I13&gt;1,80*('Saisie maison'!H13+'Saisie maison'!I13-1),0)</f>
        <v>350</v>
      </c>
      <c r="AO29" s="24">
        <f>IF('Saisie maison'!G13="éléctricité",'élts calculs lgt ind'!$AO$6,IF('Saisie maison'!G13="gaz de ville",'élts calculs lgt ind'!$AO$15,'Référence&amp;tarifs'!$B$26))*AN29</f>
        <v>71.75</v>
      </c>
      <c r="AS29" s="5" t="e">
        <f>AN29*AO6</f>
        <v>#N/A</v>
      </c>
      <c r="AT29" s="5" t="e">
        <f>AN29*AO15</f>
        <v>#N/A</v>
      </c>
      <c r="AW29" s="377"/>
      <c r="AX29" s="8" t="s">
        <v>67</v>
      </c>
      <c r="AY29" s="8">
        <f>AY24</f>
        <v>0.10199999999999999</v>
      </c>
      <c r="AZ29" s="24">
        <f>($AY$35/BI29)*AY29</f>
        <v>51</v>
      </c>
      <c r="BA29" s="8">
        <f>BA24</f>
        <v>0.10199999999999999</v>
      </c>
      <c r="BB29" s="24">
        <f t="shared" si="12"/>
        <v>51</v>
      </c>
      <c r="BC29" s="8">
        <f>BC24</f>
        <v>0.10199999999999999</v>
      </c>
      <c r="BD29" s="24">
        <f t="shared" si="11"/>
        <v>51</v>
      </c>
      <c r="BE29" s="8">
        <f>AP39</f>
        <v>0.10199999999999999</v>
      </c>
      <c r="BF29" s="24">
        <f>($BE$35/BI29)*BE29</f>
        <v>51</v>
      </c>
      <c r="BG29" s="39">
        <f>BG24</f>
        <v>0.10199999999999999</v>
      </c>
      <c r="BH29" s="24">
        <f>($BG$35/BI29)*BG29</f>
        <v>51</v>
      </c>
      <c r="BI29" s="8">
        <v>0.8</v>
      </c>
      <c r="BJ29" s="8" t="s">
        <v>67</v>
      </c>
    </row>
    <row r="30" spans="1:62" x14ac:dyDescent="0.3">
      <c r="A30" s="8" t="s">
        <v>118</v>
      </c>
      <c r="B30" s="8">
        <v>48</v>
      </c>
      <c r="C30" s="8">
        <v>6449</v>
      </c>
      <c r="D30" s="8">
        <v>4567</v>
      </c>
      <c r="E30" s="13">
        <f t="shared" si="0"/>
        <v>7093.9000000000005</v>
      </c>
      <c r="F30" s="13">
        <f t="shared" si="1"/>
        <v>5023.7000000000007</v>
      </c>
      <c r="G30" s="13">
        <v>4625</v>
      </c>
      <c r="H30" s="13">
        <v>3271.6666666666665</v>
      </c>
      <c r="I30" s="13">
        <f t="shared" si="2"/>
        <v>5087.5</v>
      </c>
      <c r="J30" s="14">
        <f t="shared" si="3"/>
        <v>3598.8333333333335</v>
      </c>
      <c r="K30" s="13">
        <f>500+'Saisie maison'!$C$13*6</f>
        <v>500</v>
      </c>
      <c r="L30" s="8">
        <f>1500+'Saisie maison'!$C$13*7</f>
        <v>1500</v>
      </c>
      <c r="M30" s="13">
        <f>500+'Saisie maison'!$C$14*6</f>
        <v>500</v>
      </c>
      <c r="N30" s="8">
        <f>1500+'Saisie maison'!$C$14*7</f>
        <v>1500</v>
      </c>
      <c r="O30" s="13">
        <f>500+'Saisie maison'!$C$15*6</f>
        <v>500</v>
      </c>
      <c r="P30" s="8">
        <f>1500+'Saisie maison'!$C$15*7</f>
        <v>1500</v>
      </c>
      <c r="Q30" s="13">
        <f>500+'Saisie maison'!$C$16*6</f>
        <v>500</v>
      </c>
      <c r="R30" s="8">
        <f>1500+'Saisie maison'!$C$16*7</f>
        <v>1500</v>
      </c>
      <c r="S30" s="13">
        <f>500+'Saisie maison'!$C$17*6</f>
        <v>500</v>
      </c>
      <c r="T30" s="8">
        <f>1500+'Saisie maison'!$C$17*7</f>
        <v>1500</v>
      </c>
      <c r="U30" s="15">
        <v>550</v>
      </c>
      <c r="V30" s="15">
        <f t="shared" si="4"/>
        <v>275</v>
      </c>
      <c r="W30" s="15">
        <v>0</v>
      </c>
      <c r="X30" s="15"/>
      <c r="Y30" s="15"/>
      <c r="Z30" s="15"/>
      <c r="AC30" s="5" t="s">
        <v>180</v>
      </c>
      <c r="AJ30" s="117"/>
      <c r="AM30" s="8" t="s">
        <v>205</v>
      </c>
      <c r="AN30" s="8">
        <f>350+IF('Saisie maison'!H14+'Saisie maison'!I14&gt;1,80*('Saisie maison'!H14+'Saisie maison'!I14-1),0)</f>
        <v>350</v>
      </c>
      <c r="AO30" s="24">
        <f>IF('Saisie maison'!G14="éléctricité",'élts calculs lgt ind'!$AO$6,IF('Saisie maison'!G14="gaz de ville",'élts calculs lgt ind'!$AO$15,'Référence&amp;tarifs'!$B$26))*AN30</f>
        <v>71.75</v>
      </c>
      <c r="AW30" s="377"/>
      <c r="AX30" s="18" t="s">
        <v>68</v>
      </c>
      <c r="AY30" s="8" t="e">
        <f>AY25</f>
        <v>#N/A</v>
      </c>
      <c r="AZ30" s="24" t="e">
        <f>($AY$35/BI30)*AY30</f>
        <v>#N/A</v>
      </c>
      <c r="BA30" s="8" t="e">
        <f>BA25</f>
        <v>#N/A</v>
      </c>
      <c r="BB30" s="24" t="e">
        <f t="shared" si="12"/>
        <v>#N/A</v>
      </c>
      <c r="BC30" s="8" t="e">
        <f>BC25</f>
        <v>#N/A</v>
      </c>
      <c r="BD30" s="24" t="e">
        <f t="shared" si="11"/>
        <v>#N/A</v>
      </c>
      <c r="BE30" s="8" t="e">
        <f>AO18</f>
        <v>#N/A</v>
      </c>
      <c r="BF30" s="24" t="e">
        <f>($BE$35/BI30)*BE30</f>
        <v>#N/A</v>
      </c>
      <c r="BG30" s="39" t="e">
        <f>BG25</f>
        <v>#N/A</v>
      </c>
      <c r="BH30" s="24" t="e">
        <f>($BG$35/BI30)*BG30</f>
        <v>#N/A</v>
      </c>
      <c r="BI30" s="8">
        <v>0.8</v>
      </c>
      <c r="BJ30" s="8" t="s">
        <v>208</v>
      </c>
    </row>
    <row r="31" spans="1:62" x14ac:dyDescent="0.3">
      <c r="A31" s="8" t="s">
        <v>119</v>
      </c>
      <c r="B31" s="8">
        <v>59</v>
      </c>
      <c r="C31" s="8">
        <v>7989</v>
      </c>
      <c r="D31" s="8">
        <v>5774</v>
      </c>
      <c r="E31" s="13">
        <f t="shared" si="0"/>
        <v>8787.9000000000015</v>
      </c>
      <c r="F31" s="13">
        <f t="shared" si="1"/>
        <v>6351.4000000000005</v>
      </c>
      <c r="G31" s="13">
        <v>5841.333333333333</v>
      </c>
      <c r="H31" s="13">
        <v>4245</v>
      </c>
      <c r="I31" s="13">
        <f t="shared" si="2"/>
        <v>6425.4666666666672</v>
      </c>
      <c r="J31" s="14">
        <f t="shared" si="3"/>
        <v>4669.5</v>
      </c>
      <c r="K31" s="13">
        <f>600+'Saisie maison'!$C$13*7</f>
        <v>600</v>
      </c>
      <c r="L31" s="13">
        <f>1800+'Saisie maison'!$C$13*7</f>
        <v>1800</v>
      </c>
      <c r="M31" s="13">
        <f>600+'Saisie maison'!$C$14*7</f>
        <v>600</v>
      </c>
      <c r="N31" s="13">
        <f>1800+'Saisie maison'!$C$14*7</f>
        <v>1800</v>
      </c>
      <c r="O31" s="13">
        <f>600+'Saisie maison'!$C$15*7</f>
        <v>600</v>
      </c>
      <c r="P31" s="13">
        <f>1800+'Saisie maison'!$C$15*7</f>
        <v>1800</v>
      </c>
      <c r="Q31" s="13">
        <f>600+'Saisie maison'!$C$16*7</f>
        <v>600</v>
      </c>
      <c r="R31" s="13">
        <f>1800+'Saisie maison'!$C$16*7</f>
        <v>1800</v>
      </c>
      <c r="S31" s="13">
        <f>600+'Saisie maison'!$C$17*7</f>
        <v>600</v>
      </c>
      <c r="T31" s="13">
        <f>1800+'Saisie maison'!$C$17*7</f>
        <v>1800</v>
      </c>
      <c r="U31" s="15">
        <v>700</v>
      </c>
      <c r="V31" s="15">
        <f t="shared" si="4"/>
        <v>350</v>
      </c>
      <c r="W31" s="15">
        <v>0</v>
      </c>
      <c r="X31" s="15"/>
      <c r="Y31" s="15"/>
      <c r="Z31" s="15"/>
      <c r="AI31" s="9" t="s">
        <v>327</v>
      </c>
      <c r="AJ31" s="117"/>
      <c r="AM31" s="8" t="s">
        <v>206</v>
      </c>
      <c r="AN31" s="8">
        <f>350+IF('Saisie maison'!H15+'Saisie maison'!I15&gt;1,80*('Saisie maison'!H15+'Saisie maison'!I15-1),0)</f>
        <v>350</v>
      </c>
      <c r="AO31" s="24">
        <f>IF('Saisie maison'!G15="éléctricité",'élts calculs lgt ind'!$AO$6,IF('Saisie maison'!G15="gaz de ville",'élts calculs lgt ind'!$AO$15,'Référence&amp;tarifs'!$B$26))*AN31</f>
        <v>71.75</v>
      </c>
      <c r="AW31" s="377"/>
      <c r="AX31" s="8" t="s">
        <v>69</v>
      </c>
      <c r="AY31" s="8">
        <f>AY22</f>
        <v>5.9499999999999997E-2</v>
      </c>
      <c r="AZ31" s="24">
        <f>($AY$35/BI31)*AY31*0.35</f>
        <v>8.7684210526315791</v>
      </c>
      <c r="BA31" s="8">
        <f>AY31</f>
        <v>5.9499999999999997E-2</v>
      </c>
      <c r="BB31" s="24">
        <f>($BA$35/$BI31)*BA31*0.35</f>
        <v>8.7684210526315791</v>
      </c>
      <c r="BC31" s="8">
        <f>AY31</f>
        <v>5.9499999999999997E-2</v>
      </c>
      <c r="BD31" s="24">
        <f>($BC$35/$BI31)*BC31*0.35</f>
        <v>8.7684210526315791</v>
      </c>
      <c r="BE31" s="8">
        <f>AY31</f>
        <v>5.9499999999999997E-2</v>
      </c>
      <c r="BF31" s="24">
        <f>($BE$35/BI31)*BE31*0.35</f>
        <v>8.7684210526315791</v>
      </c>
      <c r="BG31" s="39">
        <f>AY22</f>
        <v>5.9499999999999997E-2</v>
      </c>
      <c r="BH31" s="24">
        <f>($BG$35/BI31)*BG31*0.35</f>
        <v>8.7684210526315791</v>
      </c>
      <c r="BI31" s="8">
        <v>0.95</v>
      </c>
      <c r="BJ31" s="8" t="s">
        <v>209</v>
      </c>
    </row>
    <row r="32" spans="1:62" x14ac:dyDescent="0.3">
      <c r="A32" s="8" t="s">
        <v>120</v>
      </c>
      <c r="B32" s="8">
        <v>87</v>
      </c>
      <c r="C32" s="8">
        <v>6589</v>
      </c>
      <c r="D32" s="8">
        <v>4624</v>
      </c>
      <c r="E32" s="13">
        <f t="shared" si="0"/>
        <v>7247.9000000000005</v>
      </c>
      <c r="F32" s="13">
        <f t="shared" si="1"/>
        <v>5086.4000000000005</v>
      </c>
      <c r="G32" s="13">
        <v>4683.333333333333</v>
      </c>
      <c r="H32" s="13">
        <v>3295.3333333333335</v>
      </c>
      <c r="I32" s="13">
        <f t="shared" si="2"/>
        <v>5151.666666666667</v>
      </c>
      <c r="J32" s="14">
        <f t="shared" si="3"/>
        <v>3624.8666666666672</v>
      </c>
      <c r="K32" s="13">
        <f>500+'Saisie maison'!$C$13*6</f>
        <v>500</v>
      </c>
      <c r="L32" s="8">
        <f>1500+'Saisie maison'!$C$13*7</f>
        <v>1500</v>
      </c>
      <c r="M32" s="13">
        <f>500+'Saisie maison'!$C$14*6</f>
        <v>500</v>
      </c>
      <c r="N32" s="8">
        <f>1500+'Saisie maison'!$C$14*7</f>
        <v>1500</v>
      </c>
      <c r="O32" s="13">
        <f>500+'Saisie maison'!$C$15*6</f>
        <v>500</v>
      </c>
      <c r="P32" s="8">
        <f>1500+'Saisie maison'!$C$15*7</f>
        <v>1500</v>
      </c>
      <c r="Q32" s="13">
        <f>500+'Saisie maison'!$C$16*6</f>
        <v>500</v>
      </c>
      <c r="R32" s="8">
        <f>1500+'Saisie maison'!$C$16*7</f>
        <v>1500</v>
      </c>
      <c r="S32" s="13">
        <f>500+'Saisie maison'!$C$17*6</f>
        <v>500</v>
      </c>
      <c r="T32" s="8">
        <f>1500+'Saisie maison'!$C$17*7</f>
        <v>1500</v>
      </c>
      <c r="U32" s="15">
        <v>550</v>
      </c>
      <c r="V32" s="15">
        <f t="shared" si="4"/>
        <v>275</v>
      </c>
      <c r="W32" s="15">
        <v>0</v>
      </c>
      <c r="X32" s="15"/>
      <c r="Y32" s="15"/>
      <c r="Z32" s="15"/>
      <c r="AC32" s="5" t="s">
        <v>188</v>
      </c>
      <c r="AI32" s="9" t="s">
        <v>331</v>
      </c>
      <c r="AJ32" s="117"/>
      <c r="AM32" s="8" t="s">
        <v>473</v>
      </c>
      <c r="AN32" s="8">
        <f>350+IF('Saisie maison'!H16+'Saisie maison'!I16&gt;1,80*('Saisie maison'!H16+'Saisie maison'!I16-1),0)</f>
        <v>350</v>
      </c>
      <c r="AO32" s="8">
        <f>IF('Saisie maison'!G16="éléctricité",'élts calculs lgt ind'!$AO$6,IF('Saisie maison'!G16="gaz de ville",'élts calculs lgt ind'!$AO18,'Référence&amp;tarifs'!$B$26))*AN32</f>
        <v>71.75</v>
      </c>
      <c r="AW32" s="377"/>
      <c r="AX32" s="8" t="s">
        <v>70</v>
      </c>
      <c r="AY32" s="8" t="e">
        <f>AO6</f>
        <v>#N/A</v>
      </c>
      <c r="AZ32" s="24" t="e">
        <f>($AY$35/BI32)*AY32*0.35</f>
        <v>#N/A</v>
      </c>
      <c r="BA32" s="8" t="e">
        <f t="shared" ref="BA32" si="13">$AO$7</f>
        <v>#N/A</v>
      </c>
      <c r="BB32" s="24" t="e">
        <f t="shared" ref="BB32:BB34" si="14">($BA$35/$BI32)*BA32*0.35</f>
        <v>#N/A</v>
      </c>
      <c r="BC32" s="8" t="e">
        <f t="shared" ref="BC32" si="15">$AO$8</f>
        <v>#N/A</v>
      </c>
      <c r="BD32" s="24" t="e">
        <f t="shared" ref="BD32:BD33" si="16">($BC$35/$BI32)*BC32*0.35</f>
        <v>#N/A</v>
      </c>
      <c r="BE32" s="8" t="e">
        <f>AO9</f>
        <v>#N/A</v>
      </c>
      <c r="BF32" s="24" t="e">
        <f>($BE$35/BI32)*BE32*0.35</f>
        <v>#N/A</v>
      </c>
      <c r="BG32" s="39" t="e">
        <f>AO10</f>
        <v>#N/A</v>
      </c>
      <c r="BH32" s="24" t="e">
        <f>($BG$35/BI32)*BG32*0.35</f>
        <v>#N/A</v>
      </c>
      <c r="BI32" s="8">
        <v>0.95</v>
      </c>
      <c r="BJ32" s="8" t="s">
        <v>209</v>
      </c>
    </row>
    <row r="33" spans="1:62" x14ac:dyDescent="0.3">
      <c r="A33" s="8" t="s">
        <v>121</v>
      </c>
      <c r="B33" s="8">
        <v>56</v>
      </c>
      <c r="C33" s="8">
        <v>5395</v>
      </c>
      <c r="D33" s="8">
        <v>3703</v>
      </c>
      <c r="E33" s="13">
        <f t="shared" si="0"/>
        <v>5934.5000000000009</v>
      </c>
      <c r="F33" s="13">
        <f t="shared" si="1"/>
        <v>4073.3</v>
      </c>
      <c r="G33" s="13">
        <v>3754.6666666666665</v>
      </c>
      <c r="H33" s="13">
        <v>2568.6666666666665</v>
      </c>
      <c r="I33" s="13">
        <f t="shared" si="2"/>
        <v>4130.1333333333332</v>
      </c>
      <c r="J33" s="14">
        <f t="shared" si="3"/>
        <v>2825.5333333333333</v>
      </c>
      <c r="K33" s="13">
        <f>500+'Saisie maison'!$C$13*6</f>
        <v>500</v>
      </c>
      <c r="L33" s="8">
        <f>1500+'Saisie maison'!$C$13*7</f>
        <v>1500</v>
      </c>
      <c r="M33" s="13">
        <f>500+'Saisie maison'!$C$14*6</f>
        <v>500</v>
      </c>
      <c r="N33" s="8">
        <f>1500+'Saisie maison'!$C$14*7</f>
        <v>1500</v>
      </c>
      <c r="O33" s="13">
        <f>500+'Saisie maison'!$C$15*6</f>
        <v>500</v>
      </c>
      <c r="P33" s="8">
        <f>1500+'Saisie maison'!$C$15*7</f>
        <v>1500</v>
      </c>
      <c r="Q33" s="13">
        <f>500+'Saisie maison'!$C$16*6</f>
        <v>500</v>
      </c>
      <c r="R33" s="8">
        <f>1500+'Saisie maison'!$C$16*7</f>
        <v>1500</v>
      </c>
      <c r="S33" s="13">
        <f>500+'Saisie maison'!$C$17*6</f>
        <v>500</v>
      </c>
      <c r="T33" s="8">
        <f>1500+'Saisie maison'!$C$17*7</f>
        <v>1500</v>
      </c>
      <c r="U33" s="15">
        <v>550</v>
      </c>
      <c r="V33" s="15">
        <f t="shared" si="4"/>
        <v>275</v>
      </c>
      <c r="W33" s="15">
        <v>0</v>
      </c>
      <c r="X33" s="15"/>
      <c r="Y33" s="15"/>
      <c r="Z33" s="15"/>
      <c r="AC33" s="5" t="s">
        <v>189</v>
      </c>
      <c r="AD33" s="5">
        <f>IF(AD6&lt;5000,5,IF(AND(AD6&gt;4999,(AD6&lt;6000)),6,IF(AND(AD6&gt;5999,(AD6&lt;7000)),7,IF(AND(AD6&gt;6999,(AD6&lt;7000)),7,8))))</f>
        <v>5</v>
      </c>
      <c r="AI33" s="5" t="s">
        <v>332</v>
      </c>
      <c r="AJ33" s="117"/>
      <c r="AM33" s="8" t="s">
        <v>474</v>
      </c>
      <c r="AN33" s="8">
        <f>350+IF('Saisie maison'!H17+'Saisie maison'!I17&gt;1,80*('Saisie maison'!H17+'Saisie maison'!I17-1),0)</f>
        <v>350</v>
      </c>
      <c r="AO33" s="24">
        <f>IF('Saisie maison'!G17="éléctricité",'élts calculs lgt ind'!$AO$6,IF('Saisie maison'!G17="gaz de ville",'élts calculs lgt ind'!$AO19,'Référence&amp;tarifs'!$B$26))*AN33</f>
        <v>71.75</v>
      </c>
      <c r="AX33" s="8" t="s">
        <v>71</v>
      </c>
      <c r="AY33" s="8">
        <f>AY24</f>
        <v>0.10199999999999999</v>
      </c>
      <c r="AZ33" s="24">
        <f>($AY$35/BI33)*AY33*0.35</f>
        <v>15.866666666666664</v>
      </c>
      <c r="BA33" s="8">
        <f>AY24</f>
        <v>0.10199999999999999</v>
      </c>
      <c r="BB33" s="24">
        <f t="shared" si="14"/>
        <v>15.866666666666664</v>
      </c>
      <c r="BC33" s="8">
        <f>AY24</f>
        <v>0.10199999999999999</v>
      </c>
      <c r="BD33" s="24">
        <f t="shared" si="16"/>
        <v>15.866666666666664</v>
      </c>
      <c r="BE33" s="8">
        <f>AY24</f>
        <v>0.10199999999999999</v>
      </c>
      <c r="BF33" s="24">
        <f>($BE$35/BI33)*BE33*0.35</f>
        <v>15.866666666666664</v>
      </c>
      <c r="BG33" s="39">
        <f>BG29</f>
        <v>0.10199999999999999</v>
      </c>
      <c r="BH33" s="24">
        <f>($BG$35/BI33)*BG33*0.35</f>
        <v>15.866666666666664</v>
      </c>
      <c r="BI33" s="8">
        <v>0.9</v>
      </c>
      <c r="BJ33" s="8" t="s">
        <v>209</v>
      </c>
    </row>
    <row r="34" spans="1:62" x14ac:dyDescent="0.3">
      <c r="A34" s="8" t="s">
        <v>122</v>
      </c>
      <c r="B34" s="8">
        <v>70</v>
      </c>
      <c r="C34" s="8">
        <v>7942</v>
      </c>
      <c r="D34" s="8">
        <v>5838</v>
      </c>
      <c r="E34" s="13">
        <f t="shared" si="0"/>
        <v>8736.2000000000007</v>
      </c>
      <c r="F34" s="13">
        <f t="shared" si="1"/>
        <v>6421.8</v>
      </c>
      <c r="G34" s="13">
        <v>5901.666666666667</v>
      </c>
      <c r="H34" s="13">
        <v>4365.666666666667</v>
      </c>
      <c r="I34" s="13">
        <f t="shared" si="2"/>
        <v>6491.8333333333339</v>
      </c>
      <c r="J34" s="14">
        <f t="shared" si="3"/>
        <v>4802.2333333333345</v>
      </c>
      <c r="K34" s="13">
        <f>600+'Saisie maison'!$C$13*7</f>
        <v>600</v>
      </c>
      <c r="L34" s="13">
        <f>1800+'Saisie maison'!$C$13*7</f>
        <v>1800</v>
      </c>
      <c r="M34" s="13">
        <f>600+'Saisie maison'!$C$14*7</f>
        <v>600</v>
      </c>
      <c r="N34" s="13">
        <f>1800+'Saisie maison'!$C$14*7</f>
        <v>1800</v>
      </c>
      <c r="O34" s="13">
        <f>600+'Saisie maison'!$C$15*7</f>
        <v>600</v>
      </c>
      <c r="P34" s="13">
        <f>1800+'Saisie maison'!$C$15*7</f>
        <v>1800</v>
      </c>
      <c r="Q34" s="13">
        <f>600+'Saisie maison'!$C$16*7</f>
        <v>600</v>
      </c>
      <c r="R34" s="13">
        <f>1800+'Saisie maison'!$C$16*7</f>
        <v>1800</v>
      </c>
      <c r="S34" s="13">
        <f>600+'Saisie maison'!$C$17*7</f>
        <v>600</v>
      </c>
      <c r="T34" s="13">
        <f>1800+'Saisie maison'!$C$17*7</f>
        <v>1800</v>
      </c>
      <c r="U34" s="15">
        <v>700</v>
      </c>
      <c r="V34" s="15">
        <f t="shared" si="4"/>
        <v>350</v>
      </c>
      <c r="W34" s="15">
        <v>0</v>
      </c>
      <c r="X34" s="15"/>
      <c r="Y34" s="15"/>
      <c r="Z34" s="15"/>
      <c r="AC34" s="5" t="s">
        <v>190</v>
      </c>
      <c r="AD34" s="30">
        <f>IF(AD6&lt;5000,7,IF(AND(AD6&gt;4999,(AD6&lt;6000)),9,IF(AND(AD6&gt;5999,(AD6&lt;7000)),11,IF(AND(AD6&gt;6999,(AD6&lt;7000)),12,13))))</f>
        <v>7</v>
      </c>
      <c r="AE34" s="30"/>
      <c r="AF34" s="30"/>
      <c r="AJ34" s="117"/>
      <c r="AX34" s="8" t="s">
        <v>72</v>
      </c>
      <c r="AY34" s="8" t="e">
        <f>AY30</f>
        <v>#N/A</v>
      </c>
      <c r="AZ34" s="24" t="e">
        <f>($AY$35/BI34)*AY34*0.35</f>
        <v>#N/A</v>
      </c>
      <c r="BA34" s="8" t="e">
        <f>BA30</f>
        <v>#N/A</v>
      </c>
      <c r="BB34" s="24" t="e">
        <f t="shared" si="14"/>
        <v>#N/A</v>
      </c>
      <c r="BC34" s="8" t="e">
        <f>BC30</f>
        <v>#N/A</v>
      </c>
      <c r="BD34" s="24" t="e">
        <f>($BC$35/$BI34)*BC34*0.35</f>
        <v>#N/A</v>
      </c>
      <c r="BE34" s="8" t="e">
        <f>AO18</f>
        <v>#N/A</v>
      </c>
      <c r="BF34" s="24" t="e">
        <f>($BE$35/BI34)*BE34*0.35</f>
        <v>#N/A</v>
      </c>
      <c r="BG34" s="39" t="e">
        <f>BG30</f>
        <v>#N/A</v>
      </c>
      <c r="BH34" s="24" t="e">
        <f>($BG$35/BI34)*BG34*0.35</f>
        <v>#N/A</v>
      </c>
      <c r="BI34" s="8">
        <v>0.95</v>
      </c>
      <c r="BJ34" s="8" t="s">
        <v>209</v>
      </c>
    </row>
    <row r="35" spans="1:62" x14ac:dyDescent="0.3">
      <c r="A35" s="8" t="s">
        <v>123</v>
      </c>
      <c r="B35" s="8">
        <v>69</v>
      </c>
      <c r="C35" s="8">
        <v>6828</v>
      </c>
      <c r="D35" s="8">
        <v>4897</v>
      </c>
      <c r="E35" s="13">
        <f t="shared" si="0"/>
        <v>7510.8</v>
      </c>
      <c r="F35" s="13">
        <f t="shared" si="1"/>
        <v>5386.7000000000007</v>
      </c>
      <c r="G35" s="13">
        <v>4955.666666666667</v>
      </c>
      <c r="H35" s="13">
        <v>3552</v>
      </c>
      <c r="I35" s="13">
        <f t="shared" si="2"/>
        <v>5451.2333333333345</v>
      </c>
      <c r="J35" s="14">
        <f t="shared" si="3"/>
        <v>3907.2000000000003</v>
      </c>
      <c r="K35" s="13">
        <f>600+'Saisie maison'!$C$13*7</f>
        <v>600</v>
      </c>
      <c r="L35" s="13">
        <f>1800+'Saisie maison'!$C$13*7</f>
        <v>1800</v>
      </c>
      <c r="M35" s="13">
        <f>600+'Saisie maison'!$C$14*7</f>
        <v>600</v>
      </c>
      <c r="N35" s="13">
        <f>1800+'Saisie maison'!$C$14*7</f>
        <v>1800</v>
      </c>
      <c r="O35" s="13">
        <f>600+'Saisie maison'!$C$15*7</f>
        <v>600</v>
      </c>
      <c r="P35" s="13">
        <f>1800+'Saisie maison'!$C$15*7</f>
        <v>1800</v>
      </c>
      <c r="Q35" s="13">
        <f>600+'Saisie maison'!$C$16*7</f>
        <v>600</v>
      </c>
      <c r="R35" s="13">
        <f>1800+'Saisie maison'!$C$16*7</f>
        <v>1800</v>
      </c>
      <c r="S35" s="13">
        <f>600+'Saisie maison'!$C$17*7</f>
        <v>600</v>
      </c>
      <c r="T35" s="13">
        <f>1800+'Saisie maison'!$C$17*7</f>
        <v>1800</v>
      </c>
      <c r="U35" s="15">
        <v>700</v>
      </c>
      <c r="V35" s="15">
        <f t="shared" si="4"/>
        <v>350</v>
      </c>
      <c r="W35" s="15">
        <v>0</v>
      </c>
      <c r="X35" s="15"/>
      <c r="Y35" s="15"/>
      <c r="Z35" s="15"/>
      <c r="AC35" s="5" t="s">
        <v>326</v>
      </c>
      <c r="AD35" s="30"/>
      <c r="AE35" s="30"/>
      <c r="AF35" s="30"/>
      <c r="AJ35" s="117"/>
      <c r="AP35" s="8" t="s">
        <v>204</v>
      </c>
      <c r="AQ35" s="8" t="s">
        <v>205</v>
      </c>
      <c r="AR35" s="8" t="s">
        <v>206</v>
      </c>
      <c r="AS35" s="8" t="s">
        <v>473</v>
      </c>
      <c r="AT35" s="8" t="s">
        <v>474</v>
      </c>
      <c r="AX35" s="8" t="s">
        <v>58</v>
      </c>
      <c r="AY35" s="366">
        <f>1100+700*('Saisie maison'!$H13+'Saisie maison'!$I13-1)</f>
        <v>400</v>
      </c>
      <c r="AZ35" s="366"/>
      <c r="BA35" s="366">
        <f>1100+700*('Saisie maison'!$H14+'Saisie maison'!$I14-1)</f>
        <v>400</v>
      </c>
      <c r="BB35" s="366"/>
      <c r="BC35" s="366">
        <f>1100+700*('Saisie maison'!$H15+'Saisie maison'!$I15-1)</f>
        <v>400</v>
      </c>
      <c r="BD35" s="366"/>
      <c r="BE35" s="366">
        <f>1100+700*('Saisie maison'!H16+'Saisie maison'!I16-1)</f>
        <v>400</v>
      </c>
      <c r="BF35" s="366"/>
      <c r="BG35" s="366">
        <f>1100+700*('Saisie maison'!H17+'Saisie maison'!I17-1)</f>
        <v>400</v>
      </c>
      <c r="BH35" s="366"/>
    </row>
    <row r="36" spans="1:62" x14ac:dyDescent="0.3">
      <c r="A36" s="8" t="s">
        <v>124</v>
      </c>
      <c r="B36" s="8">
        <v>71</v>
      </c>
      <c r="C36" s="8">
        <v>7386</v>
      </c>
      <c r="D36" s="8">
        <v>5319</v>
      </c>
      <c r="E36" s="13">
        <f t="shared" si="0"/>
        <v>8124.6</v>
      </c>
      <c r="F36" s="13">
        <f t="shared" si="1"/>
        <v>5850.9000000000005</v>
      </c>
      <c r="G36" s="13">
        <v>5380.333333333333</v>
      </c>
      <c r="H36" s="13">
        <v>3887.3333333333335</v>
      </c>
      <c r="I36" s="13">
        <f t="shared" si="2"/>
        <v>5918.3666666666668</v>
      </c>
      <c r="J36" s="14">
        <f t="shared" si="3"/>
        <v>4276.0666666666675</v>
      </c>
      <c r="K36" s="13">
        <f>500+'Saisie maison'!$C$13*6</f>
        <v>500</v>
      </c>
      <c r="L36" s="8">
        <f>1500+'Saisie maison'!$C$13*7</f>
        <v>1500</v>
      </c>
      <c r="M36" s="13">
        <f>500+'Saisie maison'!$C$14*6</f>
        <v>500</v>
      </c>
      <c r="N36" s="8">
        <f>1500+'Saisie maison'!$C$14*7</f>
        <v>1500</v>
      </c>
      <c r="O36" s="13">
        <f>500+'Saisie maison'!$C$15*6</f>
        <v>500</v>
      </c>
      <c r="P36" s="8">
        <f>1500+'Saisie maison'!$C$15*7</f>
        <v>1500</v>
      </c>
      <c r="Q36" s="13">
        <f>500+'Saisie maison'!$C$16*6</f>
        <v>500</v>
      </c>
      <c r="R36" s="8">
        <f>1500+'Saisie maison'!$C$16*7</f>
        <v>1500</v>
      </c>
      <c r="S36" s="13">
        <f>500+'Saisie maison'!$C$17*6</f>
        <v>500</v>
      </c>
      <c r="T36" s="8">
        <f>1500+'Saisie maison'!$C$17*7</f>
        <v>1500</v>
      </c>
      <c r="U36" s="15">
        <v>550</v>
      </c>
      <c r="V36" s="15">
        <f t="shared" si="4"/>
        <v>275</v>
      </c>
      <c r="W36" s="15">
        <v>0</v>
      </c>
      <c r="X36" s="15"/>
      <c r="Y36" s="15"/>
      <c r="Z36" s="15"/>
      <c r="AC36" s="5" t="s">
        <v>182</v>
      </c>
      <c r="AN36" s="8" t="s">
        <v>73</v>
      </c>
      <c r="AO36" s="29" t="s">
        <v>74</v>
      </c>
      <c r="AP36" s="367" t="s">
        <v>59</v>
      </c>
      <c r="AQ36" s="373"/>
      <c r="AR36" s="373"/>
      <c r="AS36" s="373"/>
      <c r="AT36" s="368"/>
      <c r="AY36" s="5" t="s">
        <v>216</v>
      </c>
    </row>
    <row r="37" spans="1:62" x14ac:dyDescent="0.3">
      <c r="A37" s="8" t="s">
        <v>125</v>
      </c>
      <c r="B37" s="8">
        <v>13</v>
      </c>
      <c r="C37" s="8">
        <v>4035</v>
      </c>
      <c r="D37" s="8">
        <v>2675</v>
      </c>
      <c r="E37" s="13">
        <f t="shared" si="0"/>
        <v>4438.5</v>
      </c>
      <c r="F37" s="13">
        <f t="shared" si="1"/>
        <v>2942.5000000000005</v>
      </c>
      <c r="G37" s="13">
        <v>2716</v>
      </c>
      <c r="H37" s="13">
        <v>1742.6666666666667</v>
      </c>
      <c r="I37" s="13">
        <f t="shared" si="2"/>
        <v>2987.6000000000004</v>
      </c>
      <c r="J37" s="14">
        <f t="shared" si="3"/>
        <v>1916.9333333333336</v>
      </c>
      <c r="K37" s="13">
        <f>250+'Saisie maison'!$C$13*5</f>
        <v>250</v>
      </c>
      <c r="L37" s="8">
        <f>700+'Saisie maison'!$C$13*7</f>
        <v>700</v>
      </c>
      <c r="M37" s="13">
        <f>250+'Saisie maison'!$C$14*5</f>
        <v>250</v>
      </c>
      <c r="N37" s="8">
        <f>700+'Saisie maison'!$C$14*7</f>
        <v>700</v>
      </c>
      <c r="O37" s="13">
        <f>250+'Saisie maison'!$C$15*5</f>
        <v>250</v>
      </c>
      <c r="P37" s="8">
        <f>700+'Saisie maison'!$C$15*7</f>
        <v>700</v>
      </c>
      <c r="Q37" s="13">
        <f>250+'Saisie maison'!$C$16*5</f>
        <v>250</v>
      </c>
      <c r="R37" s="8">
        <f>700+'Saisie maison'!$C$16*7</f>
        <v>700</v>
      </c>
      <c r="S37" s="13">
        <f>250+'Saisie maison'!$C$17*5</f>
        <v>250</v>
      </c>
      <c r="T37" s="8">
        <f>700+'Saisie maison'!$C$17*7</f>
        <v>700</v>
      </c>
      <c r="U37" s="15">
        <v>400</v>
      </c>
      <c r="V37" s="15">
        <f t="shared" si="4"/>
        <v>200</v>
      </c>
      <c r="W37" s="15">
        <v>0</v>
      </c>
      <c r="X37" s="15"/>
      <c r="Y37" s="15"/>
      <c r="Z37" s="15"/>
      <c r="AC37" s="5" t="s">
        <v>183</v>
      </c>
      <c r="AN37" s="8" t="s">
        <v>75</v>
      </c>
      <c r="AO37" s="8">
        <v>0.8</v>
      </c>
      <c r="AP37" s="8">
        <f>'Référence&amp;tarifs'!$B$23</f>
        <v>4.4999999999999998E-2</v>
      </c>
      <c r="AQ37" s="8">
        <f>'Référence&amp;tarifs'!$B$23</f>
        <v>4.4999999999999998E-2</v>
      </c>
      <c r="AR37" s="8">
        <f>'Référence&amp;tarifs'!$B$23</f>
        <v>4.4999999999999998E-2</v>
      </c>
      <c r="AS37" s="8">
        <f>'Référence&amp;tarifs'!B23</f>
        <v>4.4999999999999998E-2</v>
      </c>
      <c r="AT37" s="8">
        <f>'Référence&amp;tarifs'!B23</f>
        <v>4.4999999999999998E-2</v>
      </c>
      <c r="AU37" s="8" t="s">
        <v>207</v>
      </c>
      <c r="AX37" s="5" t="s">
        <v>204</v>
      </c>
      <c r="AY37" s="25" t="e">
        <f>VLOOKUP('Saisie maison'!E13,'élts calculs lgt ind'!$AX$21:$BJ$34,3,FALSE)</f>
        <v>#N/A</v>
      </c>
    </row>
    <row r="38" spans="1:62" x14ac:dyDescent="0.3">
      <c r="A38" s="8" t="s">
        <v>126</v>
      </c>
      <c r="B38" s="8">
        <v>57</v>
      </c>
      <c r="C38" s="8">
        <v>7646</v>
      </c>
      <c r="D38" s="8">
        <v>5628</v>
      </c>
      <c r="E38" s="13">
        <f t="shared" si="0"/>
        <v>8410.6</v>
      </c>
      <c r="F38" s="13">
        <f t="shared" si="1"/>
        <v>6190.8</v>
      </c>
      <c r="G38" s="13">
        <v>5690</v>
      </c>
      <c r="H38" s="13">
        <v>4221</v>
      </c>
      <c r="I38" s="13">
        <f t="shared" si="2"/>
        <v>6259.0000000000009</v>
      </c>
      <c r="J38" s="14">
        <f t="shared" si="3"/>
        <v>4643.1000000000004</v>
      </c>
      <c r="K38" s="13">
        <f>600+'Saisie maison'!$C$13*7</f>
        <v>600</v>
      </c>
      <c r="L38" s="13">
        <f>1800+'Saisie maison'!$C$13*7</f>
        <v>1800</v>
      </c>
      <c r="M38" s="13">
        <f>600+'Saisie maison'!$C$14*7</f>
        <v>600</v>
      </c>
      <c r="N38" s="13">
        <f>1800+'Saisie maison'!$C$14*7</f>
        <v>1800</v>
      </c>
      <c r="O38" s="13">
        <f>600+'Saisie maison'!$C$15*7</f>
        <v>600</v>
      </c>
      <c r="P38" s="13">
        <f>1800+'Saisie maison'!$C$15*7</f>
        <v>1800</v>
      </c>
      <c r="Q38" s="13">
        <f>600+'Saisie maison'!$C$16*7</f>
        <v>600</v>
      </c>
      <c r="R38" s="13">
        <f>1800+'Saisie maison'!$C$16*7</f>
        <v>1800</v>
      </c>
      <c r="S38" s="13">
        <f>600+'Saisie maison'!$C$17*7</f>
        <v>600</v>
      </c>
      <c r="T38" s="13">
        <f>1800+'Saisie maison'!$C$17*7</f>
        <v>1800</v>
      </c>
      <c r="U38" s="15">
        <v>700</v>
      </c>
      <c r="V38" s="15">
        <f t="shared" si="4"/>
        <v>350</v>
      </c>
      <c r="W38" s="15">
        <v>0</v>
      </c>
      <c r="X38" s="15"/>
      <c r="Y38" s="15"/>
      <c r="Z38" s="15"/>
      <c r="AC38" s="5" t="s">
        <v>184</v>
      </c>
      <c r="AN38" s="8" t="s">
        <v>76</v>
      </c>
      <c r="AO38" s="8">
        <v>0.85</v>
      </c>
      <c r="AP38" s="8">
        <f>'Référence&amp;tarifs'!$B$24</f>
        <v>7.3999999999999996E-2</v>
      </c>
      <c r="AQ38" s="8">
        <f>'Référence&amp;tarifs'!$B$24</f>
        <v>7.3999999999999996E-2</v>
      </c>
      <c r="AR38" s="8">
        <f>'Référence&amp;tarifs'!$B$24</f>
        <v>7.3999999999999996E-2</v>
      </c>
      <c r="AS38" s="8">
        <f>'Référence&amp;tarifs'!$B$24</f>
        <v>7.3999999999999996E-2</v>
      </c>
      <c r="AT38" s="8">
        <f>'Référence&amp;tarifs'!$B$24</f>
        <v>7.3999999999999996E-2</v>
      </c>
      <c r="AU38" s="8" t="s">
        <v>207</v>
      </c>
      <c r="AX38" s="5" t="s">
        <v>205</v>
      </c>
      <c r="AY38" s="25" t="e">
        <f>VLOOKUP('Saisie maison'!E14,'élts calculs lgt ind'!$AX$21:$BJ$34,5,FALSE)</f>
        <v>#N/A</v>
      </c>
    </row>
    <row r="39" spans="1:62" x14ac:dyDescent="0.3">
      <c r="A39" s="8" t="s">
        <v>127</v>
      </c>
      <c r="B39" s="8">
        <v>12</v>
      </c>
      <c r="C39" s="8">
        <v>7433</v>
      </c>
      <c r="D39" s="8">
        <v>5264</v>
      </c>
      <c r="E39" s="13">
        <f t="shared" si="0"/>
        <v>8176.3000000000011</v>
      </c>
      <c r="F39" s="13">
        <f t="shared" si="1"/>
        <v>5790.4000000000005</v>
      </c>
      <c r="G39" s="13">
        <v>5329.333333333333</v>
      </c>
      <c r="H39" s="13">
        <v>3781.3333333333335</v>
      </c>
      <c r="I39" s="13">
        <f t="shared" si="2"/>
        <v>5862.2666666666664</v>
      </c>
      <c r="J39" s="14">
        <f t="shared" si="3"/>
        <v>4159.4666666666672</v>
      </c>
      <c r="K39" s="13">
        <f>500+'Saisie maison'!$C$13*6</f>
        <v>500</v>
      </c>
      <c r="L39" s="8">
        <f>1500+'Saisie maison'!$C$13*7</f>
        <v>1500</v>
      </c>
      <c r="M39" s="13">
        <f>500+'Saisie maison'!$C$14*6</f>
        <v>500</v>
      </c>
      <c r="N39" s="8">
        <f>1500+'Saisie maison'!$C$14*7</f>
        <v>1500</v>
      </c>
      <c r="O39" s="13">
        <f>500+'Saisie maison'!$C$15*6</f>
        <v>500</v>
      </c>
      <c r="P39" s="8">
        <f>1500+'Saisie maison'!$C$15*7</f>
        <v>1500</v>
      </c>
      <c r="Q39" s="13">
        <f>500+'Saisie maison'!$C$16*6</f>
        <v>500</v>
      </c>
      <c r="R39" s="8">
        <f>1500+'Saisie maison'!$C$16*7</f>
        <v>1500</v>
      </c>
      <c r="S39" s="13">
        <f>500+'Saisie maison'!$C$17*6</f>
        <v>500</v>
      </c>
      <c r="T39" s="8">
        <f>1500+'Saisie maison'!$C$17*7</f>
        <v>1500</v>
      </c>
      <c r="U39" s="15">
        <v>550</v>
      </c>
      <c r="V39" s="15">
        <f t="shared" si="4"/>
        <v>275</v>
      </c>
      <c r="W39" s="15">
        <v>0</v>
      </c>
      <c r="X39" s="15"/>
      <c r="Y39" s="15"/>
      <c r="Z39" s="15"/>
      <c r="AN39" s="8" t="s">
        <v>77</v>
      </c>
      <c r="AO39" s="8">
        <v>0.8</v>
      </c>
      <c r="AP39" s="8">
        <f>'Référence&amp;tarifs'!$B$25</f>
        <v>0.10199999999999999</v>
      </c>
      <c r="AQ39" s="8">
        <f>'Référence&amp;tarifs'!$B$25</f>
        <v>0.10199999999999999</v>
      </c>
      <c r="AR39" s="8">
        <f>'Référence&amp;tarifs'!$B$25</f>
        <v>0.10199999999999999</v>
      </c>
      <c r="AS39" s="8">
        <f>'Référence&amp;tarifs'!$B$25</f>
        <v>0.10199999999999999</v>
      </c>
      <c r="AT39" s="8">
        <f>'Référence&amp;tarifs'!$B$25</f>
        <v>0.10199999999999999</v>
      </c>
      <c r="AU39" s="8" t="s">
        <v>67</v>
      </c>
      <c r="AX39" s="5" t="s">
        <v>206</v>
      </c>
      <c r="AY39" s="25" t="e">
        <f>VLOOKUP('Saisie maison'!E15,'élts calculs lgt ind'!$AX$21:$BJ$34,7,FALSE)</f>
        <v>#N/A</v>
      </c>
    </row>
    <row r="40" spans="1:62" x14ac:dyDescent="0.3">
      <c r="A40" s="8" t="s">
        <v>128</v>
      </c>
      <c r="B40" s="8">
        <v>40</v>
      </c>
      <c r="C40" s="8">
        <v>5598</v>
      </c>
      <c r="D40" s="8">
        <v>3801</v>
      </c>
      <c r="E40" s="13">
        <f t="shared" si="0"/>
        <v>6157.8</v>
      </c>
      <c r="F40" s="13">
        <f t="shared" si="1"/>
        <v>4181.1000000000004</v>
      </c>
      <c r="G40" s="13">
        <v>3852.6666666666665</v>
      </c>
      <c r="H40" s="13">
        <v>2611.3333333333335</v>
      </c>
      <c r="I40" s="13">
        <f t="shared" si="2"/>
        <v>4237.9333333333334</v>
      </c>
      <c r="J40" s="14">
        <f t="shared" si="3"/>
        <v>2872.4666666666672</v>
      </c>
      <c r="K40" s="13">
        <f>250+'Saisie maison'!$C$13*5</f>
        <v>250</v>
      </c>
      <c r="L40" s="8">
        <f>700+'Saisie maison'!$C$13*7</f>
        <v>700</v>
      </c>
      <c r="M40" s="13">
        <f>250+'Saisie maison'!$C$14*5</f>
        <v>250</v>
      </c>
      <c r="N40" s="8">
        <f>700+'Saisie maison'!$C$14*7</f>
        <v>700</v>
      </c>
      <c r="O40" s="13">
        <f>250+'Saisie maison'!$C$15*5</f>
        <v>250</v>
      </c>
      <c r="P40" s="8">
        <f>700+'Saisie maison'!$C$15*7</f>
        <v>700</v>
      </c>
      <c r="Q40" s="13">
        <f>250+'Saisie maison'!$C$16*5</f>
        <v>250</v>
      </c>
      <c r="R40" s="8">
        <f>700+'Saisie maison'!$C$16*7</f>
        <v>700</v>
      </c>
      <c r="S40" s="13">
        <f>250+'Saisie maison'!$C$17*5</f>
        <v>250</v>
      </c>
      <c r="T40" s="8">
        <f>700+'Saisie maison'!$C$17*7</f>
        <v>700</v>
      </c>
      <c r="U40" s="15">
        <v>400</v>
      </c>
      <c r="V40" s="15">
        <f t="shared" si="4"/>
        <v>200</v>
      </c>
      <c r="W40" s="15">
        <v>0</v>
      </c>
      <c r="X40" s="15"/>
      <c r="Y40" s="15"/>
      <c r="Z40" s="15"/>
      <c r="AC40" s="5" t="s">
        <v>185</v>
      </c>
      <c r="AN40" s="8" t="s">
        <v>271</v>
      </c>
      <c r="AO40" s="8">
        <v>0.85</v>
      </c>
      <c r="AP40" s="8">
        <f>'Référence&amp;tarifs'!$B$25</f>
        <v>0.10199999999999999</v>
      </c>
      <c r="AQ40" s="8">
        <f>'Référence&amp;tarifs'!$B$25</f>
        <v>0.10199999999999999</v>
      </c>
      <c r="AR40" s="8">
        <f>'Référence&amp;tarifs'!$B$25</f>
        <v>0.10199999999999999</v>
      </c>
      <c r="AS40" s="8">
        <f>'Référence&amp;tarifs'!$B$25</f>
        <v>0.10199999999999999</v>
      </c>
      <c r="AT40" s="8">
        <f>'Référence&amp;tarifs'!$B$25</f>
        <v>0.10199999999999999</v>
      </c>
      <c r="AU40" s="8" t="s">
        <v>67</v>
      </c>
      <c r="AX40" s="5" t="s">
        <v>473</v>
      </c>
      <c r="AY40" s="25" t="e">
        <f>VLOOKUP('Saisie maison'!E16,'élts calculs lgt ind'!AX21:BJ34,9,FALSE)</f>
        <v>#N/A</v>
      </c>
    </row>
    <row r="41" spans="1:62" x14ac:dyDescent="0.3">
      <c r="A41" s="8" t="s">
        <v>129</v>
      </c>
      <c r="B41" s="8">
        <v>26</v>
      </c>
      <c r="C41" s="8">
        <v>5071</v>
      </c>
      <c r="D41" s="8">
        <v>3520</v>
      </c>
      <c r="E41" s="13">
        <f t="shared" si="0"/>
        <v>5578.1</v>
      </c>
      <c r="F41" s="13">
        <f t="shared" si="1"/>
        <v>3872.0000000000005</v>
      </c>
      <c r="G41" s="13">
        <v>3573.3333333333335</v>
      </c>
      <c r="H41" s="13">
        <v>2494.3333333333335</v>
      </c>
      <c r="I41" s="13">
        <f t="shared" si="2"/>
        <v>3930.666666666667</v>
      </c>
      <c r="J41" s="14">
        <f t="shared" si="3"/>
        <v>2743.7666666666669</v>
      </c>
      <c r="K41" s="13">
        <f>500+'Saisie maison'!$C$13*6</f>
        <v>500</v>
      </c>
      <c r="L41" s="8">
        <f>1500+'Saisie maison'!$C$13*7</f>
        <v>1500</v>
      </c>
      <c r="M41" s="13">
        <f>500+'Saisie maison'!$C$14*6</f>
        <v>500</v>
      </c>
      <c r="N41" s="8">
        <f>1500+'Saisie maison'!$C$14*7</f>
        <v>1500</v>
      </c>
      <c r="O41" s="13">
        <f>500+'Saisie maison'!$C$15*6</f>
        <v>500</v>
      </c>
      <c r="P41" s="8">
        <f>1500+'Saisie maison'!$C$15*7</f>
        <v>1500</v>
      </c>
      <c r="Q41" s="13">
        <f>500+'Saisie maison'!$C$16*6</f>
        <v>500</v>
      </c>
      <c r="R41" s="8">
        <f>1500+'Saisie maison'!$C$16*7</f>
        <v>1500</v>
      </c>
      <c r="S41" s="13">
        <f>500+'Saisie maison'!$C$17*6</f>
        <v>500</v>
      </c>
      <c r="T41" s="8">
        <f>1500+'Saisie maison'!$C$17*7</f>
        <v>1500</v>
      </c>
      <c r="U41" s="15">
        <v>550</v>
      </c>
      <c r="V41" s="15">
        <f t="shared" si="4"/>
        <v>275</v>
      </c>
      <c r="W41" s="15">
        <v>0</v>
      </c>
      <c r="X41" s="15"/>
      <c r="Y41" s="15"/>
      <c r="Z41" s="15"/>
      <c r="AC41" s="5" t="s">
        <v>186</v>
      </c>
      <c r="AN41" s="8" t="s">
        <v>272</v>
      </c>
      <c r="AO41" s="8">
        <v>0.7</v>
      </c>
      <c r="AP41" s="8">
        <f>'Référence&amp;tarifs'!$B$25</f>
        <v>0.10199999999999999</v>
      </c>
      <c r="AQ41" s="8">
        <f>'Référence&amp;tarifs'!$B$25</f>
        <v>0.10199999999999999</v>
      </c>
      <c r="AR41" s="8">
        <f>'Référence&amp;tarifs'!$B$25</f>
        <v>0.10199999999999999</v>
      </c>
      <c r="AS41" s="8">
        <f>'Référence&amp;tarifs'!$B$25</f>
        <v>0.10199999999999999</v>
      </c>
      <c r="AT41" s="8">
        <f>'Référence&amp;tarifs'!$B$25</f>
        <v>0.10199999999999999</v>
      </c>
      <c r="AU41" s="8" t="s">
        <v>67</v>
      </c>
      <c r="AX41" s="5" t="s">
        <v>474</v>
      </c>
      <c r="AY41" s="25" t="e">
        <f>VLOOKUP('Saisie maison'!E17,'élts calculs lgt ind'!AX21:BJ34,11,FALSE)</f>
        <v>#N/A</v>
      </c>
    </row>
    <row r="42" spans="1:62" x14ac:dyDescent="0.3">
      <c r="A42" s="8" t="s">
        <v>130</v>
      </c>
      <c r="B42" s="8">
        <v>34</v>
      </c>
      <c r="C42" s="8">
        <v>4284</v>
      </c>
      <c r="D42" s="8">
        <v>2853</v>
      </c>
      <c r="E42" s="13">
        <f t="shared" si="0"/>
        <v>4712.4000000000005</v>
      </c>
      <c r="F42" s="13">
        <f t="shared" si="1"/>
        <v>3138.3</v>
      </c>
      <c r="G42" s="13">
        <v>2895.6666666666665</v>
      </c>
      <c r="H42" s="13">
        <v>1870.6666666666667</v>
      </c>
      <c r="I42" s="13">
        <f t="shared" si="2"/>
        <v>3185.2333333333336</v>
      </c>
      <c r="J42" s="14">
        <f t="shared" si="3"/>
        <v>2057.7333333333336</v>
      </c>
      <c r="K42" s="13">
        <f>250+'Saisie maison'!$C$13*5</f>
        <v>250</v>
      </c>
      <c r="L42" s="8">
        <f>700+'Saisie maison'!$C$13*7</f>
        <v>700</v>
      </c>
      <c r="M42" s="13">
        <f>250+'Saisie maison'!$C$14*5</f>
        <v>250</v>
      </c>
      <c r="N42" s="8">
        <f>700+'Saisie maison'!$C$14*7</f>
        <v>700</v>
      </c>
      <c r="O42" s="13">
        <f>250+'Saisie maison'!$C$15*5</f>
        <v>250</v>
      </c>
      <c r="P42" s="8">
        <f>700+'Saisie maison'!$C$15*7</f>
        <v>700</v>
      </c>
      <c r="Q42" s="13">
        <f>250+'Saisie maison'!$C$16*5</f>
        <v>250</v>
      </c>
      <c r="R42" s="8">
        <f>700+'Saisie maison'!$C$16*7</f>
        <v>700</v>
      </c>
      <c r="S42" s="13">
        <f>250+'Saisie maison'!$C$17*5</f>
        <v>250</v>
      </c>
      <c r="T42" s="8">
        <f>700+'Saisie maison'!$C$17*7</f>
        <v>700</v>
      </c>
      <c r="U42" s="15">
        <v>400</v>
      </c>
      <c r="V42" s="15">
        <f t="shared" si="4"/>
        <v>200</v>
      </c>
      <c r="W42" s="15">
        <v>0</v>
      </c>
      <c r="X42" s="15"/>
      <c r="Y42" s="15"/>
      <c r="Z42" s="15"/>
      <c r="AC42" s="5" t="s">
        <v>266</v>
      </c>
      <c r="AN42" s="8" t="s">
        <v>78</v>
      </c>
      <c r="AO42" s="8">
        <v>0.8</v>
      </c>
      <c r="AP42" s="8" t="e">
        <f>AO15</f>
        <v>#N/A</v>
      </c>
      <c r="AQ42" s="8" t="e">
        <f>AO16</f>
        <v>#N/A</v>
      </c>
      <c r="AR42" s="8" t="e">
        <f>AO17</f>
        <v>#N/A</v>
      </c>
      <c r="AS42" s="8" t="e">
        <f>AO18</f>
        <v>#N/A</v>
      </c>
      <c r="AT42" s="8" t="e">
        <f>AO19</f>
        <v>#N/A</v>
      </c>
      <c r="AU42" s="8" t="s">
        <v>208</v>
      </c>
    </row>
    <row r="43" spans="1:62" x14ac:dyDescent="0.3">
      <c r="A43" s="8" t="s">
        <v>131</v>
      </c>
      <c r="B43" s="8">
        <v>68</v>
      </c>
      <c r="C43" s="8">
        <v>7542</v>
      </c>
      <c r="D43" s="8">
        <v>5527</v>
      </c>
      <c r="E43" s="13">
        <f t="shared" si="0"/>
        <v>8296.2000000000007</v>
      </c>
      <c r="F43" s="13">
        <f t="shared" si="1"/>
        <v>6079.7000000000007</v>
      </c>
      <c r="G43" s="13">
        <v>5596.666666666667</v>
      </c>
      <c r="H43" s="13">
        <v>4132.666666666667</v>
      </c>
      <c r="I43" s="13">
        <f t="shared" si="2"/>
        <v>6156.3333333333339</v>
      </c>
      <c r="J43" s="14">
        <f t="shared" si="3"/>
        <v>4545.9333333333343</v>
      </c>
      <c r="K43" s="13">
        <f>600+'Saisie maison'!$C$13*7</f>
        <v>600</v>
      </c>
      <c r="L43" s="13">
        <f>1800+'Saisie maison'!$C$13*7</f>
        <v>1800</v>
      </c>
      <c r="M43" s="13">
        <f>600+'Saisie maison'!$C$14*7</f>
        <v>600</v>
      </c>
      <c r="N43" s="13">
        <f>1800+'Saisie maison'!$C$14*7</f>
        <v>1800</v>
      </c>
      <c r="O43" s="13">
        <f>600+'Saisie maison'!$C$15*7</f>
        <v>600</v>
      </c>
      <c r="P43" s="13">
        <f>1800+'Saisie maison'!$C$15*7</f>
        <v>1800</v>
      </c>
      <c r="Q43" s="13">
        <f>600+'Saisie maison'!$C$16*7</f>
        <v>600</v>
      </c>
      <c r="R43" s="13">
        <f>1800+'Saisie maison'!$C$16*7</f>
        <v>1800</v>
      </c>
      <c r="S43" s="13">
        <f>600+'Saisie maison'!$C$17*7</f>
        <v>600</v>
      </c>
      <c r="T43" s="13">
        <f>1800+'Saisie maison'!$C$17*7</f>
        <v>1800</v>
      </c>
      <c r="U43" s="15">
        <v>700</v>
      </c>
      <c r="V43" s="15">
        <f t="shared" si="4"/>
        <v>350</v>
      </c>
      <c r="W43" s="15">
        <v>0</v>
      </c>
      <c r="X43" s="15"/>
      <c r="Y43" s="15"/>
      <c r="Z43" s="15"/>
      <c r="AN43" s="8" t="s">
        <v>176</v>
      </c>
      <c r="AO43" s="8">
        <v>0.9</v>
      </c>
      <c r="AP43" s="8" t="e">
        <f>AO15</f>
        <v>#N/A</v>
      </c>
      <c r="AQ43" s="8" t="e">
        <f>AO16</f>
        <v>#N/A</v>
      </c>
      <c r="AR43" s="8" t="e">
        <f>AO17</f>
        <v>#N/A</v>
      </c>
      <c r="AS43" s="8" t="e">
        <f>AO18</f>
        <v>#N/A</v>
      </c>
      <c r="AT43" s="8" t="e">
        <f>AO19</f>
        <v>#N/A</v>
      </c>
      <c r="AU43" s="8" t="s">
        <v>208</v>
      </c>
    </row>
    <row r="44" spans="1:62" x14ac:dyDescent="0.3">
      <c r="A44" s="8" t="s">
        <v>132</v>
      </c>
      <c r="B44" s="8">
        <v>54</v>
      </c>
      <c r="C44" s="8">
        <v>7861</v>
      </c>
      <c r="D44" s="8">
        <v>5784</v>
      </c>
      <c r="E44" s="13">
        <f t="shared" si="0"/>
        <v>8647.1</v>
      </c>
      <c r="F44" s="13">
        <f t="shared" si="1"/>
        <v>6362.4000000000005</v>
      </c>
      <c r="G44" s="13">
        <v>5847.333333333333</v>
      </c>
      <c r="H44" s="13">
        <v>4334.666666666667</v>
      </c>
      <c r="I44" s="13">
        <f t="shared" si="2"/>
        <v>6432.0666666666666</v>
      </c>
      <c r="J44" s="14">
        <f t="shared" si="3"/>
        <v>4768.1333333333341</v>
      </c>
      <c r="K44" s="13">
        <f>600+'Saisie maison'!$C$13*7</f>
        <v>600</v>
      </c>
      <c r="L44" s="13">
        <f>1800+'Saisie maison'!$C$13*7</f>
        <v>1800</v>
      </c>
      <c r="M44" s="13">
        <f>600+'Saisie maison'!$C$14*7</f>
        <v>600</v>
      </c>
      <c r="N44" s="13">
        <f>1800+'Saisie maison'!$C$14*7</f>
        <v>1800</v>
      </c>
      <c r="O44" s="13">
        <f>600+'Saisie maison'!$C$15*7</f>
        <v>600</v>
      </c>
      <c r="P44" s="13">
        <f>1800+'Saisie maison'!$C$15*7</f>
        <v>1800</v>
      </c>
      <c r="Q44" s="13">
        <f>600+'Saisie maison'!$C$16*7</f>
        <v>600</v>
      </c>
      <c r="R44" s="13">
        <f>1800+'Saisie maison'!$C$16*7</f>
        <v>1800</v>
      </c>
      <c r="S44" s="13">
        <f>600+'Saisie maison'!$C$17*7</f>
        <v>600</v>
      </c>
      <c r="T44" s="13">
        <f>1800+'Saisie maison'!$C$17*7</f>
        <v>1800</v>
      </c>
      <c r="U44" s="15">
        <v>700</v>
      </c>
      <c r="V44" s="15">
        <f t="shared" si="4"/>
        <v>350</v>
      </c>
      <c r="W44" s="15">
        <v>0</v>
      </c>
      <c r="X44" s="15"/>
      <c r="Y44" s="15"/>
      <c r="Z44" s="15"/>
      <c r="AN44" s="8" t="s">
        <v>175</v>
      </c>
      <c r="AO44" s="8">
        <v>0.72</v>
      </c>
      <c r="AP44" s="8" t="e">
        <f>AO15</f>
        <v>#N/A</v>
      </c>
      <c r="AQ44" s="8" t="e">
        <f>AO16</f>
        <v>#N/A</v>
      </c>
      <c r="AR44" s="8" t="e">
        <f>AO17</f>
        <v>#N/A</v>
      </c>
      <c r="AS44" s="8" t="e">
        <f>AO18</f>
        <v>#N/A</v>
      </c>
      <c r="AT44" s="8" t="e">
        <f>AO19</f>
        <v>#N/A</v>
      </c>
      <c r="AU44" s="8" t="s">
        <v>208</v>
      </c>
    </row>
    <row r="45" spans="1:62" x14ac:dyDescent="0.3">
      <c r="A45" s="8" t="s">
        <v>133</v>
      </c>
      <c r="B45" s="8">
        <v>44</v>
      </c>
      <c r="C45" s="8">
        <v>5426</v>
      </c>
      <c r="D45" s="8">
        <v>3762</v>
      </c>
      <c r="E45" s="13">
        <f t="shared" si="0"/>
        <v>5968.6</v>
      </c>
      <c r="F45" s="13">
        <f t="shared" si="1"/>
        <v>4138.2000000000007</v>
      </c>
      <c r="G45" s="13">
        <v>3811.6666666666665</v>
      </c>
      <c r="H45" s="13">
        <v>2660.3333333333335</v>
      </c>
      <c r="I45" s="13">
        <f t="shared" si="2"/>
        <v>4192.8333333333339</v>
      </c>
      <c r="J45" s="14">
        <f t="shared" si="3"/>
        <v>2926.3666666666672</v>
      </c>
      <c r="K45" s="13">
        <f>500+'Saisie maison'!$C$13*6</f>
        <v>500</v>
      </c>
      <c r="L45" s="8">
        <f>1400+'Saisie maison'!$C$13*7</f>
        <v>1400</v>
      </c>
      <c r="M45" s="13">
        <f>500+'Saisie maison'!$C$14*6</f>
        <v>500</v>
      </c>
      <c r="N45" s="8">
        <f>1400+'Saisie maison'!$C$14*7</f>
        <v>1400</v>
      </c>
      <c r="O45" s="13">
        <f>500+'Saisie maison'!$C$15*6</f>
        <v>500</v>
      </c>
      <c r="P45" s="8">
        <f>1400+'Saisie maison'!$C$15*7</f>
        <v>1400</v>
      </c>
      <c r="Q45" s="13">
        <f>500+'Saisie maison'!$C$16*6</f>
        <v>500</v>
      </c>
      <c r="R45" s="8">
        <f>1400+'Saisie maison'!$C$16*7</f>
        <v>1400</v>
      </c>
      <c r="S45" s="13">
        <f>500+'Saisie maison'!$C$17*6</f>
        <v>500</v>
      </c>
      <c r="T45" s="8">
        <f>1400+'Saisie maison'!$C$17*7</f>
        <v>1400</v>
      </c>
      <c r="U45" s="15">
        <v>550</v>
      </c>
      <c r="V45" s="15">
        <f t="shared" si="4"/>
        <v>275</v>
      </c>
      <c r="W45" s="15">
        <v>0</v>
      </c>
      <c r="X45" s="15"/>
      <c r="AN45" s="18" t="s">
        <v>79</v>
      </c>
      <c r="AO45" s="8">
        <v>0.8</v>
      </c>
      <c r="AP45" s="31" t="e">
        <f>0.8*AP$37+0.2*AO6</f>
        <v>#N/A</v>
      </c>
      <c r="AQ45" s="31" t="e">
        <f>0.8*AP$37+0.2*AO7</f>
        <v>#N/A</v>
      </c>
      <c r="AR45" s="31" t="e">
        <f>0.8*AP$37+0.2*AO8</f>
        <v>#N/A</v>
      </c>
      <c r="AS45" s="31" t="e">
        <f>0.8*$AP$37+0.2*AO9</f>
        <v>#N/A</v>
      </c>
      <c r="AT45" s="8" t="e">
        <f>0.8*$AP$37+0.2*AO10</f>
        <v>#N/A</v>
      </c>
      <c r="AU45" s="8" t="s">
        <v>267</v>
      </c>
    </row>
    <row r="46" spans="1:62" x14ac:dyDescent="0.3">
      <c r="A46" s="8" t="s">
        <v>134</v>
      </c>
      <c r="B46" s="8">
        <v>58</v>
      </c>
      <c r="C46" s="8">
        <v>7464</v>
      </c>
      <c r="D46" s="8">
        <v>5348</v>
      </c>
      <c r="E46" s="13">
        <f t="shared" si="0"/>
        <v>8210.4000000000015</v>
      </c>
      <c r="F46" s="13">
        <f t="shared" si="1"/>
        <v>5882.8</v>
      </c>
      <c r="G46" s="13">
        <v>5411.666666666667</v>
      </c>
      <c r="H46" s="13">
        <v>3874.3333333333335</v>
      </c>
      <c r="I46" s="13">
        <f t="shared" si="2"/>
        <v>5952.8333333333339</v>
      </c>
      <c r="J46" s="14">
        <f t="shared" si="3"/>
        <v>4261.7666666666673</v>
      </c>
      <c r="K46" s="32">
        <f>500+'Saisie maison'!$C$13*6</f>
        <v>500</v>
      </c>
      <c r="L46" s="8">
        <f>1500+'Saisie maison'!$C$13*7</f>
        <v>1500</v>
      </c>
      <c r="M46" s="32">
        <f>500+'Saisie maison'!$C$14*6</f>
        <v>500</v>
      </c>
      <c r="N46" s="8">
        <f>1500+'Saisie maison'!$C$14*7</f>
        <v>1500</v>
      </c>
      <c r="O46" s="32">
        <f>500+'Saisie maison'!$C$15*6</f>
        <v>500</v>
      </c>
      <c r="P46" s="8">
        <f>1500+'Saisie maison'!$C$15*7</f>
        <v>1500</v>
      </c>
      <c r="Q46" s="13">
        <f>500+'Saisie maison'!$C$16*6</f>
        <v>500</v>
      </c>
      <c r="R46" s="8">
        <f>1500+'Saisie maison'!$C$16*7</f>
        <v>1500</v>
      </c>
      <c r="S46" s="13">
        <f>500+'Saisie maison'!$C$17*6</f>
        <v>500</v>
      </c>
      <c r="T46" s="8">
        <f>1500+'Saisie maison'!$C$17*7</f>
        <v>1500</v>
      </c>
      <c r="U46" s="15">
        <v>550</v>
      </c>
      <c r="V46" s="15">
        <f t="shared" si="4"/>
        <v>275</v>
      </c>
      <c r="W46" s="15">
        <v>0</v>
      </c>
      <c r="X46" s="15"/>
      <c r="AN46" s="8" t="s">
        <v>80</v>
      </c>
      <c r="AO46" s="8">
        <v>1.69</v>
      </c>
      <c r="AP46" s="8" t="e">
        <f>AO6</f>
        <v>#N/A</v>
      </c>
      <c r="AQ46" s="8" t="e">
        <f>$AO$7</f>
        <v>#N/A</v>
      </c>
      <c r="AR46" s="8" t="e">
        <f>$AO$8</f>
        <v>#N/A</v>
      </c>
      <c r="AS46" s="8" t="e">
        <f>$AO$9</f>
        <v>#N/A</v>
      </c>
      <c r="AT46" s="8" t="e">
        <f>$AO$10</f>
        <v>#N/A</v>
      </c>
      <c r="AU46" s="8" t="s">
        <v>267</v>
      </c>
    </row>
    <row r="47" spans="1:62" x14ac:dyDescent="0.3">
      <c r="A47" s="8" t="s">
        <v>135</v>
      </c>
      <c r="B47" s="8">
        <v>6</v>
      </c>
      <c r="C47" s="8">
        <v>2982</v>
      </c>
      <c r="D47" s="8">
        <v>1848</v>
      </c>
      <c r="E47" s="13">
        <f t="shared" si="0"/>
        <v>3280.2000000000003</v>
      </c>
      <c r="F47" s="13">
        <f t="shared" si="1"/>
        <v>2032.8000000000002</v>
      </c>
      <c r="G47" s="13">
        <v>1883</v>
      </c>
      <c r="H47" s="13">
        <v>1096.6666666666667</v>
      </c>
      <c r="I47" s="13">
        <f t="shared" si="2"/>
        <v>2071.3000000000002</v>
      </c>
      <c r="J47" s="14">
        <f t="shared" si="3"/>
        <v>1206.3333333333335</v>
      </c>
      <c r="K47" s="13">
        <f>250+'Saisie maison'!$C$13*5</f>
        <v>250</v>
      </c>
      <c r="L47" s="8">
        <f>700+'Saisie maison'!$C$13*7</f>
        <v>700</v>
      </c>
      <c r="M47" s="13">
        <f>250+'Saisie maison'!$C$14*5</f>
        <v>250</v>
      </c>
      <c r="N47" s="8">
        <f>700+'Saisie maison'!$C$14*7</f>
        <v>700</v>
      </c>
      <c r="O47" s="13">
        <f>250+'Saisie maison'!$C$15*5</f>
        <v>250</v>
      </c>
      <c r="P47" s="8">
        <f>700+'Saisie maison'!$C$15*7</f>
        <v>700</v>
      </c>
      <c r="Q47" s="13">
        <f>250+'Saisie maison'!$C$16*5</f>
        <v>250</v>
      </c>
      <c r="R47" s="8">
        <f>700+'Saisie maison'!$C$16*7</f>
        <v>700</v>
      </c>
      <c r="S47" s="13">
        <f>250+'Saisie maison'!$C$17*5</f>
        <v>250</v>
      </c>
      <c r="T47" s="8">
        <f>700+'Saisie maison'!$C$17*7</f>
        <v>700</v>
      </c>
      <c r="U47" s="15">
        <v>400</v>
      </c>
      <c r="V47" s="15">
        <f t="shared" si="4"/>
        <v>200</v>
      </c>
      <c r="W47" s="15">
        <v>0</v>
      </c>
      <c r="X47" s="15"/>
      <c r="AN47" s="8" t="s">
        <v>81</v>
      </c>
      <c r="AO47" s="8">
        <v>2.2000000000000002</v>
      </c>
      <c r="AP47" s="8" t="e">
        <f>AO6</f>
        <v>#N/A</v>
      </c>
      <c r="AQ47" s="8" t="e">
        <f t="shared" ref="AQ47:AQ50" si="17">$AO$7</f>
        <v>#N/A</v>
      </c>
      <c r="AR47" s="8" t="e">
        <f t="shared" ref="AR47:AR50" si="18">$AO$8</f>
        <v>#N/A</v>
      </c>
      <c r="AS47" s="8" t="e">
        <f>$AO$9</f>
        <v>#N/A</v>
      </c>
      <c r="AT47" s="8" t="e">
        <f>$AO$10</f>
        <v>#N/A</v>
      </c>
      <c r="AU47" s="8" t="s">
        <v>267</v>
      </c>
    </row>
    <row r="48" spans="1:62" x14ac:dyDescent="0.3">
      <c r="A48" s="8" t="s">
        <v>136</v>
      </c>
      <c r="B48" s="8">
        <v>30</v>
      </c>
      <c r="C48" s="8">
        <v>4414</v>
      </c>
      <c r="D48" s="8">
        <v>2966</v>
      </c>
      <c r="E48" s="13">
        <f t="shared" si="0"/>
        <v>4855.4000000000005</v>
      </c>
      <c r="F48" s="13">
        <f t="shared" si="1"/>
        <v>3262.6000000000004</v>
      </c>
      <c r="G48" s="13">
        <v>3008.6666666666665</v>
      </c>
      <c r="H48" s="13">
        <v>1961.3333333333333</v>
      </c>
      <c r="I48" s="13">
        <f t="shared" si="2"/>
        <v>3309.5333333333333</v>
      </c>
      <c r="J48" s="14">
        <f t="shared" si="3"/>
        <v>2157.4666666666667</v>
      </c>
      <c r="K48" s="13">
        <f>250+'Saisie maison'!$C$13*5</f>
        <v>250</v>
      </c>
      <c r="L48" s="8">
        <f>700+'Saisie maison'!$C$13*7</f>
        <v>700</v>
      </c>
      <c r="M48" s="13">
        <f>250+'Saisie maison'!$C$14*5</f>
        <v>250</v>
      </c>
      <c r="N48" s="8">
        <f>700+'Saisie maison'!$C$14*7</f>
        <v>700</v>
      </c>
      <c r="O48" s="13">
        <f>250+'Saisie maison'!$C$15*5</f>
        <v>250</v>
      </c>
      <c r="P48" s="8">
        <f>700+'Saisie maison'!$C$15*7</f>
        <v>700</v>
      </c>
      <c r="Q48" s="13">
        <f>250+'Saisie maison'!$C$16*5</f>
        <v>250</v>
      </c>
      <c r="R48" s="8">
        <f>700+'Saisie maison'!$C$16*7</f>
        <v>700</v>
      </c>
      <c r="S48" s="13">
        <f>250+'Saisie maison'!$C$17*5</f>
        <v>250</v>
      </c>
      <c r="T48" s="8">
        <f>700+'Saisie maison'!$C$17*7</f>
        <v>700</v>
      </c>
      <c r="U48" s="15">
        <v>400</v>
      </c>
      <c r="V48" s="15">
        <f t="shared" si="4"/>
        <v>200</v>
      </c>
      <c r="W48" s="15">
        <v>0</v>
      </c>
      <c r="X48" s="15"/>
      <c r="AN48" s="8" t="s">
        <v>82</v>
      </c>
      <c r="AO48" s="8">
        <v>2.1</v>
      </c>
      <c r="AP48" s="8" t="e">
        <f>AO6</f>
        <v>#N/A</v>
      </c>
      <c r="AQ48" s="8" t="e">
        <f t="shared" si="17"/>
        <v>#N/A</v>
      </c>
      <c r="AR48" s="8" t="e">
        <f t="shared" si="18"/>
        <v>#N/A</v>
      </c>
      <c r="AS48" s="8" t="e">
        <f>$AO$9</f>
        <v>#N/A</v>
      </c>
      <c r="AT48" s="8" t="e">
        <f>$AO$10</f>
        <v>#N/A</v>
      </c>
      <c r="AU48" s="8" t="s">
        <v>267</v>
      </c>
    </row>
    <row r="49" spans="1:47" x14ac:dyDescent="0.3">
      <c r="A49" s="8" t="s">
        <v>137</v>
      </c>
      <c r="B49" s="8">
        <v>84</v>
      </c>
      <c r="C49" s="8">
        <v>5168</v>
      </c>
      <c r="D49" s="8">
        <v>3514</v>
      </c>
      <c r="E49" s="13">
        <f t="shared" si="0"/>
        <v>5684.8</v>
      </c>
      <c r="F49" s="13">
        <f t="shared" si="1"/>
        <v>3865.4</v>
      </c>
      <c r="G49" s="13">
        <v>3560.3333333333335</v>
      </c>
      <c r="H49" s="13">
        <v>2412</v>
      </c>
      <c r="I49" s="13">
        <f t="shared" si="2"/>
        <v>3916.3666666666672</v>
      </c>
      <c r="J49" s="14">
        <f t="shared" si="3"/>
        <v>2653.2000000000003</v>
      </c>
      <c r="K49" s="13">
        <f>250+'Saisie maison'!$C$13*5</f>
        <v>250</v>
      </c>
      <c r="L49" s="8">
        <f>700+'Saisie maison'!$C$13*7</f>
        <v>700</v>
      </c>
      <c r="M49" s="13">
        <f>250+'Saisie maison'!$C$14*5</f>
        <v>250</v>
      </c>
      <c r="N49" s="8">
        <f>700+'Saisie maison'!$C$14*7</f>
        <v>700</v>
      </c>
      <c r="O49" s="13">
        <f>250+'Saisie maison'!$C$15*5</f>
        <v>250</v>
      </c>
      <c r="P49" s="8">
        <f>700+'Saisie maison'!$C$15*7</f>
        <v>700</v>
      </c>
      <c r="Q49" s="13">
        <f>250+'Saisie maison'!$C$16*5</f>
        <v>250</v>
      </c>
      <c r="R49" s="8">
        <f>700+'Saisie maison'!$C$16*7</f>
        <v>700</v>
      </c>
      <c r="S49" s="13">
        <f>250+'Saisie maison'!$C$17*5</f>
        <v>250</v>
      </c>
      <c r="T49" s="8">
        <f>700+'Saisie maison'!$C$17*7</f>
        <v>700</v>
      </c>
      <c r="U49" s="15">
        <v>400</v>
      </c>
      <c r="V49" s="15">
        <f t="shared" si="4"/>
        <v>200</v>
      </c>
      <c r="W49" s="15">
        <v>0</v>
      </c>
      <c r="X49" s="15"/>
      <c r="AN49" s="8" t="s">
        <v>83</v>
      </c>
      <c r="AO49" s="8">
        <v>1.8</v>
      </c>
      <c r="AP49" s="8" t="e">
        <f>AO6</f>
        <v>#N/A</v>
      </c>
      <c r="AQ49" s="8" t="e">
        <f t="shared" si="17"/>
        <v>#N/A</v>
      </c>
      <c r="AR49" s="8" t="e">
        <f t="shared" si="18"/>
        <v>#N/A</v>
      </c>
      <c r="AS49" s="8" t="e">
        <f>$AO$9</f>
        <v>#N/A</v>
      </c>
      <c r="AT49" s="8" t="e">
        <f>$AO$10</f>
        <v>#N/A</v>
      </c>
      <c r="AU49" s="8" t="s">
        <v>267</v>
      </c>
    </row>
    <row r="50" spans="1:47" x14ac:dyDescent="0.3">
      <c r="A50" s="8" t="s">
        <v>138</v>
      </c>
      <c r="B50" s="8">
        <v>45</v>
      </c>
      <c r="C50" s="8">
        <v>7221</v>
      </c>
      <c r="D50" s="8">
        <v>5168</v>
      </c>
      <c r="E50" s="13">
        <f t="shared" si="0"/>
        <v>7943.1</v>
      </c>
      <c r="F50" s="13">
        <f t="shared" si="1"/>
        <v>5684.8</v>
      </c>
      <c r="G50" s="13">
        <v>5230.333333333333</v>
      </c>
      <c r="H50" s="13">
        <v>3737</v>
      </c>
      <c r="I50" s="13">
        <f t="shared" si="2"/>
        <v>5753.3666666666668</v>
      </c>
      <c r="J50" s="14">
        <f t="shared" si="3"/>
        <v>4110.7000000000007</v>
      </c>
      <c r="K50" s="13">
        <f>500+'Saisie maison'!$C$13*6</f>
        <v>500</v>
      </c>
      <c r="L50" s="8">
        <f>1500+'Saisie maison'!$C$13*7</f>
        <v>1500</v>
      </c>
      <c r="M50" s="13">
        <f>500+'Saisie maison'!$C$14*6</f>
        <v>500</v>
      </c>
      <c r="N50" s="8">
        <f>1500+'Saisie maison'!$C$14*7</f>
        <v>1500</v>
      </c>
      <c r="O50" s="13">
        <f>500+'Saisie maison'!$C$15*6</f>
        <v>500</v>
      </c>
      <c r="P50" s="8">
        <f>1500+'Saisie maison'!$C$15*7</f>
        <v>1500</v>
      </c>
      <c r="Q50" s="13">
        <f>500+'Saisie maison'!$C$16*6</f>
        <v>500</v>
      </c>
      <c r="R50" s="8">
        <f>1500+'Saisie maison'!$C$16*7</f>
        <v>1500</v>
      </c>
      <c r="S50" s="13">
        <f>500+'Saisie maison'!$C$17*6</f>
        <v>500</v>
      </c>
      <c r="T50" s="8">
        <f>1500+'Saisie maison'!$C$17*7</f>
        <v>1500</v>
      </c>
      <c r="U50" s="15">
        <v>550</v>
      </c>
      <c r="V50" s="15">
        <f t="shared" si="4"/>
        <v>275</v>
      </c>
      <c r="W50" s="15">
        <v>0</v>
      </c>
      <c r="X50" s="15"/>
      <c r="AN50" s="8" t="s">
        <v>475</v>
      </c>
      <c r="AO50" s="8">
        <v>0.95</v>
      </c>
      <c r="AP50" s="8" t="e">
        <f>AO6</f>
        <v>#N/A</v>
      </c>
      <c r="AQ50" s="8" t="e">
        <f t="shared" si="17"/>
        <v>#N/A</v>
      </c>
      <c r="AR50" s="8" t="e">
        <f t="shared" si="18"/>
        <v>#N/A</v>
      </c>
      <c r="AS50" s="8" t="e">
        <f>$AO$9</f>
        <v>#N/A</v>
      </c>
      <c r="AT50" s="8" t="e">
        <f>$AO$10</f>
        <v>#N/A</v>
      </c>
      <c r="AU50" s="8" t="s">
        <v>267</v>
      </c>
    </row>
    <row r="51" spans="1:47" x14ac:dyDescent="0.3">
      <c r="A51" s="8" t="s">
        <v>139</v>
      </c>
      <c r="B51" s="8">
        <v>75</v>
      </c>
      <c r="C51" s="8">
        <v>6661</v>
      </c>
      <c r="D51" s="8">
        <v>4380</v>
      </c>
      <c r="E51" s="13">
        <f t="shared" si="0"/>
        <v>7327.1</v>
      </c>
      <c r="F51" s="13">
        <f t="shared" si="1"/>
        <v>4818</v>
      </c>
      <c r="G51" s="13">
        <v>4435.666666666667</v>
      </c>
      <c r="H51" s="13">
        <v>3157.3333333333335</v>
      </c>
      <c r="I51" s="13">
        <f t="shared" si="2"/>
        <v>4879.2333333333345</v>
      </c>
      <c r="J51" s="14">
        <f t="shared" si="3"/>
        <v>3473.0666666666671</v>
      </c>
      <c r="K51" s="13">
        <f>500+'Saisie maison'!$C$13*6</f>
        <v>500</v>
      </c>
      <c r="L51" s="8">
        <f>1700+'Saisie maison'!$C$13*7</f>
        <v>1700</v>
      </c>
      <c r="M51" s="13">
        <f>500+'Saisie maison'!$C$14*6</f>
        <v>500</v>
      </c>
      <c r="N51" s="8">
        <f>1700+'Saisie maison'!$C$14*7</f>
        <v>1700</v>
      </c>
      <c r="O51" s="13">
        <f>500+'Saisie maison'!$C$15*6</f>
        <v>500</v>
      </c>
      <c r="P51" s="8">
        <f>1700+'Saisie maison'!$C$15*7</f>
        <v>1700</v>
      </c>
      <c r="Q51" s="13">
        <f>500+'Saisie maison'!$C$16*6</f>
        <v>500</v>
      </c>
      <c r="R51" s="8">
        <f>1700+'Saisie maison'!$C$16*7</f>
        <v>1700</v>
      </c>
      <c r="S51" s="13">
        <f>500+'Saisie maison'!$C$17*6</f>
        <v>500</v>
      </c>
      <c r="T51" s="8">
        <f>1700+'Saisie maison'!$C$17*7</f>
        <v>1700</v>
      </c>
      <c r="U51" s="15">
        <v>550</v>
      </c>
      <c r="V51" s="15">
        <f t="shared" si="4"/>
        <v>275</v>
      </c>
      <c r="W51" s="15">
        <v>0</v>
      </c>
      <c r="X51" s="15"/>
      <c r="AN51" s="8" t="s">
        <v>85</v>
      </c>
      <c r="AO51" s="8">
        <v>0.8</v>
      </c>
      <c r="AP51" s="8">
        <f>$AP$37</f>
        <v>4.4999999999999998E-2</v>
      </c>
      <c r="AQ51" s="8">
        <f>$AP$37</f>
        <v>4.4999999999999998E-2</v>
      </c>
      <c r="AR51" s="8">
        <f>$AP$37</f>
        <v>4.4999999999999998E-2</v>
      </c>
      <c r="AS51" s="8">
        <f>$AP$37</f>
        <v>4.4999999999999998E-2</v>
      </c>
      <c r="AT51" s="8">
        <f>$AP$37</f>
        <v>4.4999999999999998E-2</v>
      </c>
      <c r="AU51" s="8" t="s">
        <v>207</v>
      </c>
    </row>
    <row r="52" spans="1:47" x14ac:dyDescent="0.3">
      <c r="A52" s="8" t="s">
        <v>140</v>
      </c>
      <c r="B52" s="8">
        <v>64</v>
      </c>
      <c r="C52" s="8">
        <v>4548</v>
      </c>
      <c r="D52" s="8">
        <v>3115</v>
      </c>
      <c r="E52" s="13">
        <f t="shared" si="0"/>
        <v>5002.8</v>
      </c>
      <c r="F52" s="13">
        <f t="shared" si="1"/>
        <v>3426.5000000000005</v>
      </c>
      <c r="G52" s="13">
        <v>3159</v>
      </c>
      <c r="H52" s="13">
        <v>2140.6666666666665</v>
      </c>
      <c r="I52" s="13">
        <f t="shared" si="2"/>
        <v>3474.9</v>
      </c>
      <c r="J52" s="14">
        <f t="shared" si="3"/>
        <v>2354.7333333333336</v>
      </c>
      <c r="K52" s="13">
        <f>250+'Saisie maison'!$C$13*5</f>
        <v>250</v>
      </c>
      <c r="L52" s="8">
        <f>700+'Saisie maison'!$C$13*7</f>
        <v>700</v>
      </c>
      <c r="M52" s="13">
        <f>250+'Saisie maison'!$C$14*5</f>
        <v>250</v>
      </c>
      <c r="N52" s="8">
        <f>700+'Saisie maison'!$C$14*7</f>
        <v>700</v>
      </c>
      <c r="O52" s="13">
        <f>250+'Saisie maison'!$C$15*5</f>
        <v>250</v>
      </c>
      <c r="P52" s="8">
        <f>700+'Saisie maison'!$C$15*7</f>
        <v>700</v>
      </c>
      <c r="Q52" s="13">
        <f>250+'Saisie maison'!$C$16*5</f>
        <v>250</v>
      </c>
      <c r="R52" s="8">
        <f>700+'Saisie maison'!$C$16*7</f>
        <v>700</v>
      </c>
      <c r="S52" s="13">
        <f>250+'Saisie maison'!$C$17*5</f>
        <v>250</v>
      </c>
      <c r="T52" s="8">
        <f>700+'Saisie maison'!$C$17*7</f>
        <v>700</v>
      </c>
      <c r="U52" s="15">
        <v>400</v>
      </c>
      <c r="V52" s="15">
        <f t="shared" si="4"/>
        <v>200</v>
      </c>
      <c r="W52" s="15">
        <v>0</v>
      </c>
      <c r="X52" s="15"/>
      <c r="AN52" s="8" t="s">
        <v>86</v>
      </c>
      <c r="AO52" s="8">
        <v>0.85</v>
      </c>
      <c r="AP52" s="8">
        <f>$AP$38</f>
        <v>7.3999999999999996E-2</v>
      </c>
      <c r="AQ52" s="8">
        <f>$AP$38</f>
        <v>7.3999999999999996E-2</v>
      </c>
      <c r="AR52" s="8">
        <f>$AP$38</f>
        <v>7.3999999999999996E-2</v>
      </c>
      <c r="AS52" s="8">
        <f>$AP$38</f>
        <v>7.3999999999999996E-2</v>
      </c>
      <c r="AT52" s="8">
        <f>$AP$38</f>
        <v>7.3999999999999996E-2</v>
      </c>
      <c r="AU52" s="8" t="s">
        <v>207</v>
      </c>
    </row>
    <row r="53" spans="1:47" x14ac:dyDescent="0.3">
      <c r="A53" s="8" t="s">
        <v>141</v>
      </c>
      <c r="B53" s="8">
        <v>66</v>
      </c>
      <c r="C53" s="8">
        <v>3292</v>
      </c>
      <c r="D53" s="8">
        <v>2090</v>
      </c>
      <c r="E53" s="13">
        <f t="shared" si="0"/>
        <v>3621.2000000000003</v>
      </c>
      <c r="F53" s="13">
        <f t="shared" si="1"/>
        <v>2299</v>
      </c>
      <c r="G53" s="13">
        <v>2127</v>
      </c>
      <c r="H53" s="13">
        <v>1280.3333333333333</v>
      </c>
      <c r="I53" s="13">
        <f t="shared" si="2"/>
        <v>2339.7000000000003</v>
      </c>
      <c r="J53" s="14">
        <f t="shared" si="3"/>
        <v>1408.3666666666668</v>
      </c>
      <c r="K53" s="13">
        <f>250+'Saisie maison'!$C$13*5</f>
        <v>250</v>
      </c>
      <c r="L53" s="8">
        <f>700+'Saisie maison'!$C$13*7</f>
        <v>700</v>
      </c>
      <c r="M53" s="13">
        <f>250+'Saisie maison'!$C$14*5</f>
        <v>250</v>
      </c>
      <c r="N53" s="8">
        <f>700+'Saisie maison'!$C$14*7</f>
        <v>700</v>
      </c>
      <c r="O53" s="13">
        <f>250+'Saisie maison'!$C$15*5</f>
        <v>250</v>
      </c>
      <c r="P53" s="8">
        <f>700+'Saisie maison'!$C$15*7</f>
        <v>700</v>
      </c>
      <c r="Q53" s="13">
        <f>250+'Saisie maison'!$C$16*5</f>
        <v>250</v>
      </c>
      <c r="R53" s="8">
        <f>700+'Saisie maison'!$C$16*7</f>
        <v>700</v>
      </c>
      <c r="S53" s="13">
        <f>250+'Saisie maison'!$C$17*5</f>
        <v>250</v>
      </c>
      <c r="T53" s="8">
        <f>700+'Saisie maison'!$C$17*7</f>
        <v>700</v>
      </c>
      <c r="U53" s="15">
        <v>400</v>
      </c>
      <c r="V53" s="15">
        <f t="shared" si="4"/>
        <v>200</v>
      </c>
      <c r="W53" s="15">
        <v>0</v>
      </c>
      <c r="X53" s="15"/>
      <c r="AN53" s="8" t="s">
        <v>87</v>
      </c>
      <c r="AO53" s="8">
        <v>0.9</v>
      </c>
      <c r="AP53" s="8" t="e">
        <f>$AO$6</f>
        <v>#N/A</v>
      </c>
      <c r="AQ53" s="8" t="e">
        <f>$AO$7</f>
        <v>#N/A</v>
      </c>
      <c r="AR53" s="8" t="e">
        <f>$AO$8</f>
        <v>#N/A</v>
      </c>
      <c r="AS53" s="8" t="e">
        <f>$AO$9</f>
        <v>#N/A</v>
      </c>
      <c r="AT53" s="8" t="e">
        <f>$AO$10</f>
        <v>#N/A</v>
      </c>
      <c r="AU53" s="8" t="s">
        <v>267</v>
      </c>
    </row>
    <row r="54" spans="1:47" x14ac:dyDescent="0.3">
      <c r="A54" s="8" t="s">
        <v>142</v>
      </c>
      <c r="B54" s="8">
        <v>86</v>
      </c>
      <c r="C54" s="8">
        <v>6297</v>
      </c>
      <c r="D54" s="8">
        <v>4434</v>
      </c>
      <c r="E54" s="13">
        <f t="shared" si="0"/>
        <v>6926.7000000000007</v>
      </c>
      <c r="F54" s="13">
        <f t="shared" si="1"/>
        <v>4877.4000000000005</v>
      </c>
      <c r="G54" s="13">
        <v>4492</v>
      </c>
      <c r="H54" s="13">
        <v>3167.3333333333335</v>
      </c>
      <c r="I54" s="13">
        <f t="shared" si="2"/>
        <v>4941.2000000000007</v>
      </c>
      <c r="J54" s="14">
        <f t="shared" si="3"/>
        <v>3484.0666666666671</v>
      </c>
      <c r="K54" s="13">
        <f>500+'Saisie maison'!$C$13*6</f>
        <v>500</v>
      </c>
      <c r="L54" s="8">
        <f>1500+'Saisie maison'!$C$13*7</f>
        <v>1500</v>
      </c>
      <c r="M54" s="13">
        <f>500+'Saisie maison'!$C$14*6</f>
        <v>500</v>
      </c>
      <c r="N54" s="8">
        <f>1500+'Saisie maison'!$C$14*7</f>
        <v>1500</v>
      </c>
      <c r="O54" s="13">
        <f>500+'Saisie maison'!$C$15*6</f>
        <v>500</v>
      </c>
      <c r="P54" s="8">
        <f>1500+'Saisie maison'!$C$15*7</f>
        <v>1500</v>
      </c>
      <c r="Q54" s="13">
        <f>500+'Saisie maison'!$C$16*6</f>
        <v>500</v>
      </c>
      <c r="R54" s="8">
        <f>1500+'Saisie maison'!$C$16*7</f>
        <v>1500</v>
      </c>
      <c r="S54" s="13">
        <f>500+'Saisie maison'!$C$17*6</f>
        <v>500</v>
      </c>
      <c r="T54" s="8">
        <f>1500+'Saisie maison'!$C$17*7</f>
        <v>1500</v>
      </c>
      <c r="U54" s="15">
        <v>550</v>
      </c>
      <c r="V54" s="15">
        <f t="shared" si="4"/>
        <v>275</v>
      </c>
      <c r="W54" s="15">
        <v>0</v>
      </c>
      <c r="X54" s="15"/>
      <c r="AN54" s="8" t="s">
        <v>88</v>
      </c>
      <c r="AO54" s="8">
        <v>0.9</v>
      </c>
      <c r="AP54" s="8" t="e">
        <f>$AO$6</f>
        <v>#N/A</v>
      </c>
      <c r="AQ54" s="8" t="e">
        <f t="shared" ref="AQ54:AQ56" si="19">$AO$7</f>
        <v>#N/A</v>
      </c>
      <c r="AR54" s="8" t="e">
        <f t="shared" ref="AR54:AR56" si="20">$AO$8</f>
        <v>#N/A</v>
      </c>
      <c r="AS54" s="8" t="e">
        <f>$AO$9</f>
        <v>#N/A</v>
      </c>
      <c r="AT54" s="8" t="e">
        <f>$AO$10</f>
        <v>#N/A</v>
      </c>
      <c r="AU54" s="8" t="s">
        <v>267</v>
      </c>
    </row>
    <row r="55" spans="1:47" x14ac:dyDescent="0.3">
      <c r="A55" s="8" t="s">
        <v>143</v>
      </c>
      <c r="B55" s="8">
        <v>51</v>
      </c>
      <c r="C55" s="8">
        <v>7168</v>
      </c>
      <c r="D55" s="8">
        <v>5226</v>
      </c>
      <c r="E55" s="13">
        <f t="shared" si="0"/>
        <v>7884.8000000000011</v>
      </c>
      <c r="F55" s="13">
        <f t="shared" si="1"/>
        <v>5748.6</v>
      </c>
      <c r="G55" s="13">
        <v>5286</v>
      </c>
      <c r="H55" s="13">
        <v>3868</v>
      </c>
      <c r="I55" s="13">
        <f t="shared" si="2"/>
        <v>5814.6</v>
      </c>
      <c r="J55" s="14">
        <f t="shared" si="3"/>
        <v>4254.8</v>
      </c>
      <c r="K55" s="13">
        <f>600+'Saisie maison'!$C$13*7</f>
        <v>600</v>
      </c>
      <c r="L55" s="13">
        <f>1800+'Saisie maison'!$C$13*7</f>
        <v>1800</v>
      </c>
      <c r="M55" s="13">
        <f>600+'Saisie maison'!$C$14*7</f>
        <v>600</v>
      </c>
      <c r="N55" s="13">
        <f>1800+'Saisie maison'!$C$14*7</f>
        <v>1800</v>
      </c>
      <c r="O55" s="13">
        <f>600+'Saisie maison'!$C$15*7</f>
        <v>600</v>
      </c>
      <c r="P55" s="13">
        <f>1800+'Saisie maison'!$C$15*7</f>
        <v>1800</v>
      </c>
      <c r="Q55" s="13">
        <f>600+'Saisie maison'!$C$16*7</f>
        <v>600</v>
      </c>
      <c r="R55" s="13">
        <f>1800+'Saisie maison'!$C$16*7</f>
        <v>1800</v>
      </c>
      <c r="S55" s="13">
        <f>600+'Saisie maison'!$C$17*7</f>
        <v>600</v>
      </c>
      <c r="T55" s="13">
        <f>1800+'Saisie maison'!$C$17*7</f>
        <v>1800</v>
      </c>
      <c r="U55" s="15">
        <v>700</v>
      </c>
      <c r="V55" s="15">
        <f t="shared" si="4"/>
        <v>350</v>
      </c>
      <c r="W55" s="15">
        <v>0</v>
      </c>
      <c r="X55" s="15"/>
      <c r="AN55" s="8" t="s">
        <v>476</v>
      </c>
      <c r="AO55" s="8">
        <v>0.8</v>
      </c>
      <c r="AP55" s="8" t="e">
        <f>$AO$6</f>
        <v>#N/A</v>
      </c>
      <c r="AQ55" s="8" t="e">
        <f t="shared" si="19"/>
        <v>#N/A</v>
      </c>
      <c r="AR55" s="8" t="e">
        <f t="shared" si="20"/>
        <v>#N/A</v>
      </c>
      <c r="AS55" s="8" t="e">
        <f>$AO$9</f>
        <v>#N/A</v>
      </c>
      <c r="AT55" s="8" t="e">
        <f>$AO$10</f>
        <v>#N/A</v>
      </c>
      <c r="AU55" s="8" t="s">
        <v>267</v>
      </c>
    </row>
    <row r="56" spans="1:47" x14ac:dyDescent="0.3">
      <c r="A56" s="8" t="s">
        <v>144</v>
      </c>
      <c r="B56" s="8">
        <v>35</v>
      </c>
      <c r="C56" s="8">
        <v>5903</v>
      </c>
      <c r="D56" s="8">
        <v>4118</v>
      </c>
      <c r="E56" s="13">
        <f t="shared" si="0"/>
        <v>6493.3</v>
      </c>
      <c r="F56" s="13">
        <f t="shared" si="1"/>
        <v>4529.8</v>
      </c>
      <c r="G56" s="13">
        <v>4174.666666666667</v>
      </c>
      <c r="H56" s="13">
        <v>2920.6666666666665</v>
      </c>
      <c r="I56" s="13">
        <f t="shared" si="2"/>
        <v>4592.1333333333341</v>
      </c>
      <c r="J56" s="14">
        <f t="shared" si="3"/>
        <v>3212.7333333333336</v>
      </c>
      <c r="K56" s="13">
        <f>500+'Saisie maison'!$C$13*6</f>
        <v>500</v>
      </c>
      <c r="L56" s="8">
        <f>1500+'Saisie maison'!$C$13*7</f>
        <v>1500</v>
      </c>
      <c r="M56" s="13">
        <f>500+'Saisie maison'!$C$14*6</f>
        <v>500</v>
      </c>
      <c r="N56" s="8">
        <f>1500+'Saisie maison'!$C$14*7</f>
        <v>1500</v>
      </c>
      <c r="O56" s="13">
        <f>500+'Saisie maison'!$C$15*6</f>
        <v>500</v>
      </c>
      <c r="P56" s="8">
        <f>1500+'Saisie maison'!$C$15*7</f>
        <v>1500</v>
      </c>
      <c r="Q56" s="13">
        <f>500+'Saisie maison'!$C$16*6</f>
        <v>500</v>
      </c>
      <c r="R56" s="8">
        <f>1500+'Saisie maison'!$C$16*7</f>
        <v>1500</v>
      </c>
      <c r="S56" s="13">
        <f>500+'Saisie maison'!$C$17*6</f>
        <v>500</v>
      </c>
      <c r="T56" s="8">
        <f>1500+'Saisie maison'!$C$17*7</f>
        <v>1500</v>
      </c>
      <c r="U56" s="15">
        <v>550</v>
      </c>
      <c r="V56" s="15">
        <f t="shared" si="4"/>
        <v>275</v>
      </c>
      <c r="W56" s="15">
        <v>0</v>
      </c>
      <c r="X56" s="15"/>
      <c r="AN56" s="8" t="s">
        <v>477</v>
      </c>
      <c r="AO56" s="8">
        <v>0.92</v>
      </c>
      <c r="AP56" s="8" t="e">
        <f>$AO$6</f>
        <v>#N/A</v>
      </c>
      <c r="AQ56" s="8" t="e">
        <f t="shared" si="19"/>
        <v>#N/A</v>
      </c>
      <c r="AR56" s="8" t="e">
        <f t="shared" si="20"/>
        <v>#N/A</v>
      </c>
      <c r="AS56" s="8" t="e">
        <f>$AO$9</f>
        <v>#N/A</v>
      </c>
      <c r="AT56" s="8" t="e">
        <f>$AO$10</f>
        <v>#N/A</v>
      </c>
      <c r="AU56" s="8" t="s">
        <v>267</v>
      </c>
    </row>
    <row r="57" spans="1:47" x14ac:dyDescent="0.3">
      <c r="A57" s="8" t="s">
        <v>145</v>
      </c>
      <c r="B57" s="8">
        <v>76</v>
      </c>
      <c r="C57" s="8">
        <v>7780</v>
      </c>
      <c r="D57" s="8">
        <v>5579</v>
      </c>
      <c r="E57" s="13">
        <f t="shared" si="0"/>
        <v>8558</v>
      </c>
      <c r="F57" s="13">
        <f t="shared" si="1"/>
        <v>6136.9000000000005</v>
      </c>
      <c r="G57" s="13">
        <v>5645.333333333333</v>
      </c>
      <c r="H57" s="13">
        <v>4058.3333333333335</v>
      </c>
      <c r="I57" s="13">
        <f t="shared" si="2"/>
        <v>6209.8666666666668</v>
      </c>
      <c r="J57" s="14">
        <f t="shared" si="3"/>
        <v>4464.166666666667</v>
      </c>
      <c r="K57" s="13">
        <f>600+'Saisie maison'!$C$13*7</f>
        <v>600</v>
      </c>
      <c r="L57" s="13">
        <f>1800+'Saisie maison'!$C$13*7</f>
        <v>1800</v>
      </c>
      <c r="M57" s="13">
        <f>600+'Saisie maison'!$C$14*7</f>
        <v>600</v>
      </c>
      <c r="N57" s="13">
        <f>1800+'Saisie maison'!$C$14*7</f>
        <v>1800</v>
      </c>
      <c r="O57" s="13">
        <f>600+'Saisie maison'!$C$15*7</f>
        <v>600</v>
      </c>
      <c r="P57" s="13">
        <f>1800+'Saisie maison'!$C$15*7</f>
        <v>1800</v>
      </c>
      <c r="Q57" s="13">
        <f>600+'Saisie maison'!$C$16*7</f>
        <v>600</v>
      </c>
      <c r="R57" s="13">
        <f>1800+'Saisie maison'!$C$16*7</f>
        <v>1800</v>
      </c>
      <c r="S57" s="13">
        <f>600+'Saisie maison'!$C$17*7</f>
        <v>600</v>
      </c>
      <c r="T57" s="13">
        <f>1800+'Saisie maison'!$C$17*7</f>
        <v>1800</v>
      </c>
      <c r="U57" s="15">
        <v>700</v>
      </c>
      <c r="V57" s="15">
        <f t="shared" si="4"/>
        <v>350</v>
      </c>
      <c r="W57" s="15">
        <v>0</v>
      </c>
      <c r="X57" s="15"/>
    </row>
    <row r="58" spans="1:47" x14ac:dyDescent="0.3">
      <c r="A58" s="8" t="s">
        <v>146</v>
      </c>
      <c r="B58" s="8">
        <v>9</v>
      </c>
      <c r="C58" s="8">
        <v>5363</v>
      </c>
      <c r="D58" s="8">
        <v>3686</v>
      </c>
      <c r="E58" s="13">
        <f t="shared" si="0"/>
        <v>5899.3</v>
      </c>
      <c r="F58" s="13">
        <f t="shared" si="1"/>
        <v>4054.6000000000004</v>
      </c>
      <c r="G58" s="13">
        <v>3736.6666666666665</v>
      </c>
      <c r="H58" s="13">
        <v>2542.3333333333335</v>
      </c>
      <c r="I58" s="13">
        <f t="shared" si="2"/>
        <v>4110.3333333333339</v>
      </c>
      <c r="J58" s="14">
        <f t="shared" si="3"/>
        <v>2796.5666666666671</v>
      </c>
      <c r="K58" s="13">
        <f>500+'Saisie maison'!$C$13*6</f>
        <v>500</v>
      </c>
      <c r="L58" s="8">
        <f>1500+'Saisie maison'!$C$13*7</f>
        <v>1500</v>
      </c>
      <c r="M58" s="13">
        <f>500+'Saisie maison'!$C$14*6</f>
        <v>500</v>
      </c>
      <c r="N58" s="8">
        <f>1500+'Saisie maison'!$C$14*7</f>
        <v>1500</v>
      </c>
      <c r="O58" s="13">
        <f>500+'Saisie maison'!$C$15*6</f>
        <v>500</v>
      </c>
      <c r="P58" s="8">
        <f>1500+'Saisie maison'!$C$15*7</f>
        <v>1500</v>
      </c>
      <c r="Q58" s="13">
        <f>500+'Saisie maison'!$C$16*6</f>
        <v>500</v>
      </c>
      <c r="R58" s="8">
        <f>1500+'Saisie maison'!$C$16*7</f>
        <v>1500</v>
      </c>
      <c r="S58" s="13">
        <f>500+'Saisie maison'!$C$17*6</f>
        <v>500</v>
      </c>
      <c r="T58" s="8">
        <f>1500+'Saisie maison'!$C$17*7</f>
        <v>1500</v>
      </c>
      <c r="U58" s="15">
        <v>550</v>
      </c>
      <c r="V58" s="15">
        <f t="shared" si="4"/>
        <v>275</v>
      </c>
      <c r="W58" s="15">
        <v>0</v>
      </c>
      <c r="X58" s="15"/>
    </row>
    <row r="59" spans="1:47" x14ac:dyDescent="0.3">
      <c r="A59" s="8" t="s">
        <v>147</v>
      </c>
      <c r="B59" s="8">
        <v>52</v>
      </c>
      <c r="C59" s="8">
        <v>6827</v>
      </c>
      <c r="D59" s="8">
        <v>4970</v>
      </c>
      <c r="E59" s="13">
        <f t="shared" si="0"/>
        <v>7509.7000000000007</v>
      </c>
      <c r="F59" s="13">
        <f t="shared" si="1"/>
        <v>5467</v>
      </c>
      <c r="G59" s="13">
        <v>5027</v>
      </c>
      <c r="H59" s="13">
        <v>3681.3333333333335</v>
      </c>
      <c r="I59" s="13">
        <f t="shared" si="2"/>
        <v>5529.7000000000007</v>
      </c>
      <c r="J59" s="14">
        <f t="shared" si="3"/>
        <v>4049.4666666666672</v>
      </c>
      <c r="K59" s="13">
        <f>500+'Saisie maison'!$C$13*6</f>
        <v>500</v>
      </c>
      <c r="L59" s="8">
        <f>1500+'Saisie maison'!$C$13*7</f>
        <v>1500</v>
      </c>
      <c r="M59" s="13">
        <f>500+'Saisie maison'!$C$14*6</f>
        <v>500</v>
      </c>
      <c r="N59" s="8">
        <f>1500+'Saisie maison'!$C$14*7</f>
        <v>1500</v>
      </c>
      <c r="O59" s="13">
        <f>500+'Saisie maison'!$C$15*6</f>
        <v>500</v>
      </c>
      <c r="P59" s="8">
        <f>1500+'Saisie maison'!$C$15*7</f>
        <v>1500</v>
      </c>
      <c r="Q59" s="13">
        <f>500+'Saisie maison'!$C$16*6</f>
        <v>500</v>
      </c>
      <c r="R59" s="8">
        <f>1500+'Saisie maison'!$C$16*7</f>
        <v>1500</v>
      </c>
      <c r="S59" s="13">
        <f>500+'Saisie maison'!$C$17*6</f>
        <v>500</v>
      </c>
      <c r="T59" s="8">
        <f>1500+'Saisie maison'!$C$17*7</f>
        <v>1500</v>
      </c>
      <c r="U59" s="15">
        <v>550</v>
      </c>
      <c r="V59" s="15">
        <f t="shared" si="4"/>
        <v>275</v>
      </c>
      <c r="W59" s="15">
        <v>0</v>
      </c>
      <c r="X59" s="15"/>
    </row>
    <row r="60" spans="1:47" x14ac:dyDescent="0.3">
      <c r="A60" s="8" t="s">
        <v>191</v>
      </c>
      <c r="B60" s="8">
        <v>42</v>
      </c>
      <c r="C60" s="8">
        <v>7942</v>
      </c>
      <c r="D60" s="8">
        <v>5808</v>
      </c>
      <c r="E60" s="13">
        <f t="shared" si="0"/>
        <v>8736.2000000000007</v>
      </c>
      <c r="F60" s="13">
        <f t="shared" si="1"/>
        <v>6388.8</v>
      </c>
      <c r="G60" s="13">
        <v>5722.333333333333</v>
      </c>
      <c r="H60" s="13">
        <v>4320</v>
      </c>
      <c r="I60" s="13">
        <f t="shared" si="2"/>
        <v>6294.5666666666666</v>
      </c>
      <c r="J60" s="14">
        <f t="shared" si="3"/>
        <v>4752</v>
      </c>
      <c r="K60" s="13">
        <f>500+'Saisie maison'!$C$13*6</f>
        <v>500</v>
      </c>
      <c r="L60" s="8">
        <f>1500+'Saisie maison'!$C$13*7</f>
        <v>1500</v>
      </c>
      <c r="M60" s="13">
        <f>500+'Saisie maison'!$C$14*6</f>
        <v>500</v>
      </c>
      <c r="N60" s="8">
        <f>1500+'Saisie maison'!$C$14*7</f>
        <v>1500</v>
      </c>
      <c r="O60" s="13">
        <f>500+'Saisie maison'!$C$15*6</f>
        <v>500</v>
      </c>
      <c r="P60" s="8">
        <f>1500+'Saisie maison'!$C$15*7</f>
        <v>1500</v>
      </c>
      <c r="Q60" s="13">
        <f>500+'Saisie maison'!$C$16*6</f>
        <v>500</v>
      </c>
      <c r="R60" s="8">
        <f>1500+'Saisie maison'!$C$16*7</f>
        <v>1500</v>
      </c>
      <c r="S60" s="13">
        <f>500+'Saisie maison'!$C$17*6</f>
        <v>500</v>
      </c>
      <c r="T60" s="8">
        <f>1500+'Saisie maison'!$C$17*7</f>
        <v>1500</v>
      </c>
      <c r="U60" s="15">
        <v>550</v>
      </c>
      <c r="V60" s="15">
        <f t="shared" si="4"/>
        <v>275</v>
      </c>
      <c r="W60" s="15">
        <v>0</v>
      </c>
      <c r="X60" s="15"/>
    </row>
    <row r="61" spans="1:47" x14ac:dyDescent="0.3">
      <c r="A61" s="8" t="s">
        <v>148</v>
      </c>
      <c r="B61" s="8">
        <v>2</v>
      </c>
      <c r="C61" s="8">
        <v>7348</v>
      </c>
      <c r="D61" s="8">
        <v>5354</v>
      </c>
      <c r="E61" s="13">
        <f t="shared" si="0"/>
        <v>8082.8000000000011</v>
      </c>
      <c r="F61" s="13">
        <f t="shared" si="1"/>
        <v>5889.4000000000005</v>
      </c>
      <c r="G61" s="13">
        <v>5415.666666666667</v>
      </c>
      <c r="H61" s="13">
        <v>3974</v>
      </c>
      <c r="I61" s="13">
        <f t="shared" si="2"/>
        <v>5957.2333333333345</v>
      </c>
      <c r="J61" s="14">
        <f t="shared" si="3"/>
        <v>4371.4000000000005</v>
      </c>
      <c r="K61" s="13">
        <f>500+'Saisie maison'!$C$13*6</f>
        <v>500</v>
      </c>
      <c r="L61" s="8">
        <f>1500+'Saisie maison'!$C$13*7</f>
        <v>1500</v>
      </c>
      <c r="M61" s="13">
        <f>500+'Saisie maison'!$C$14*6</f>
        <v>500</v>
      </c>
      <c r="N61" s="8">
        <f>1500+'Saisie maison'!$C$14*7</f>
        <v>1500</v>
      </c>
      <c r="O61" s="13">
        <f>500+'Saisie maison'!$C$15*6</f>
        <v>500</v>
      </c>
      <c r="P61" s="8">
        <f>1500+'Saisie maison'!$C$15*7</f>
        <v>1500</v>
      </c>
      <c r="Q61" s="13">
        <f>500+'Saisie maison'!$C$16*6</f>
        <v>500</v>
      </c>
      <c r="R61" s="8">
        <f>1500+'Saisie maison'!$C$16*7</f>
        <v>1500</v>
      </c>
      <c r="S61" s="13">
        <f>500+'Saisie maison'!$C$17*6</f>
        <v>500</v>
      </c>
      <c r="T61" s="8">
        <f>1500+'Saisie maison'!$C$17*7</f>
        <v>1500</v>
      </c>
      <c r="U61" s="15">
        <v>550</v>
      </c>
      <c r="V61" s="15">
        <f t="shared" si="4"/>
        <v>275</v>
      </c>
      <c r="W61" s="15">
        <v>0</v>
      </c>
      <c r="X61" s="15"/>
    </row>
    <row r="62" spans="1:47" x14ac:dyDescent="0.3">
      <c r="A62" s="8" t="s">
        <v>149</v>
      </c>
      <c r="B62" s="8">
        <v>67</v>
      </c>
      <c r="C62" s="8">
        <v>7716</v>
      </c>
      <c r="D62" s="8">
        <v>5694</v>
      </c>
      <c r="E62" s="13">
        <f t="shared" si="0"/>
        <v>8487.6</v>
      </c>
      <c r="F62" s="13">
        <f t="shared" si="1"/>
        <v>6263.4000000000005</v>
      </c>
      <c r="G62" s="13">
        <v>5755.666666666667</v>
      </c>
      <c r="H62" s="13">
        <v>4288.333333333333</v>
      </c>
      <c r="I62" s="13">
        <f t="shared" si="2"/>
        <v>6331.2333333333345</v>
      </c>
      <c r="J62" s="14">
        <f t="shared" si="3"/>
        <v>4717.166666666667</v>
      </c>
      <c r="K62" s="13">
        <f>600+'Saisie maison'!$C$13*7</f>
        <v>600</v>
      </c>
      <c r="L62" s="13">
        <f>1800+'Saisie maison'!$C$13*7</f>
        <v>1800</v>
      </c>
      <c r="M62" s="13">
        <f>600+'Saisie maison'!$C$14*7</f>
        <v>600</v>
      </c>
      <c r="N62" s="13">
        <f>1800+'Saisie maison'!$C$14*7</f>
        <v>1800</v>
      </c>
      <c r="O62" s="13">
        <f>600+'Saisie maison'!$C$15*7</f>
        <v>600</v>
      </c>
      <c r="P62" s="13">
        <f>1800+'Saisie maison'!$C$15*7</f>
        <v>1800</v>
      </c>
      <c r="Q62" s="13">
        <f>600+'Saisie maison'!$C$16*7</f>
        <v>600</v>
      </c>
      <c r="R62" s="13">
        <f>1800+'Saisie maison'!$C$16*7</f>
        <v>1800</v>
      </c>
      <c r="S62" s="13">
        <f>600+'Saisie maison'!$C$17*7</f>
        <v>600</v>
      </c>
      <c r="T62" s="13">
        <f>1800+'Saisie maison'!$C$17*7</f>
        <v>1800</v>
      </c>
      <c r="U62" s="15">
        <v>700</v>
      </c>
      <c r="V62" s="15">
        <f t="shared" si="4"/>
        <v>350</v>
      </c>
      <c r="W62" s="15">
        <v>0</v>
      </c>
      <c r="X62" s="15"/>
      <c r="Y62" s="15"/>
      <c r="Z62" s="15"/>
    </row>
    <row r="63" spans="1:47" x14ac:dyDescent="0.3">
      <c r="A63" s="8" t="s">
        <v>150</v>
      </c>
      <c r="B63" s="8">
        <v>65</v>
      </c>
      <c r="C63" s="8">
        <v>5300</v>
      </c>
      <c r="D63" s="8">
        <v>3646</v>
      </c>
      <c r="E63" s="13">
        <f t="shared" si="0"/>
        <v>5830.0000000000009</v>
      </c>
      <c r="F63" s="13">
        <f t="shared" si="1"/>
        <v>4010.6000000000004</v>
      </c>
      <c r="G63" s="13">
        <v>3696</v>
      </c>
      <c r="H63" s="13">
        <v>2517.6666666666665</v>
      </c>
      <c r="I63" s="13">
        <f t="shared" si="2"/>
        <v>4065.6000000000004</v>
      </c>
      <c r="J63" s="14">
        <f t="shared" si="3"/>
        <v>2769.4333333333334</v>
      </c>
      <c r="K63" s="13">
        <f>250+'Saisie maison'!$C$13*5</f>
        <v>250</v>
      </c>
      <c r="L63" s="8">
        <f>700+'Saisie maison'!$C$13*7</f>
        <v>700</v>
      </c>
      <c r="M63" s="13">
        <f>250+'Saisie maison'!$C$14*5</f>
        <v>250</v>
      </c>
      <c r="N63" s="8">
        <f>700+'Saisie maison'!$C$14*7</f>
        <v>700</v>
      </c>
      <c r="O63" s="13">
        <f>250+'Saisie maison'!$C$15*5</f>
        <v>250</v>
      </c>
      <c r="P63" s="8">
        <f>700+'Saisie maison'!$C$15*7</f>
        <v>700</v>
      </c>
      <c r="Q63" s="13">
        <f>250+'Saisie maison'!$C$16*5</f>
        <v>250</v>
      </c>
      <c r="R63" s="8">
        <f>700+'Saisie maison'!$C$16*7</f>
        <v>700</v>
      </c>
      <c r="S63" s="13">
        <f>250+'Saisie maison'!$C$17*5</f>
        <v>250</v>
      </c>
      <c r="T63" s="8">
        <f>700+'Saisie maison'!$C$17*7</f>
        <v>700</v>
      </c>
      <c r="U63" s="15">
        <v>400</v>
      </c>
      <c r="V63" s="15">
        <f t="shared" si="4"/>
        <v>200</v>
      </c>
      <c r="W63" s="15">
        <v>0</v>
      </c>
      <c r="X63" s="15"/>
      <c r="Y63" s="15"/>
      <c r="Z63" s="15"/>
    </row>
    <row r="64" spans="1:47" x14ac:dyDescent="0.3">
      <c r="A64" s="8" t="s">
        <v>151</v>
      </c>
      <c r="B64" s="8">
        <v>83</v>
      </c>
      <c r="C64" s="8">
        <v>2553</v>
      </c>
      <c r="D64" s="8">
        <v>1528</v>
      </c>
      <c r="E64" s="13">
        <f t="shared" si="0"/>
        <v>2808.3</v>
      </c>
      <c r="F64" s="13">
        <f t="shared" si="1"/>
        <v>1680.8000000000002</v>
      </c>
      <c r="G64" s="13">
        <v>1568.3333333333333</v>
      </c>
      <c r="H64" s="13">
        <v>880.33333333333337</v>
      </c>
      <c r="I64" s="13">
        <f t="shared" si="2"/>
        <v>1725.1666666666667</v>
      </c>
      <c r="J64" s="14">
        <f t="shared" si="3"/>
        <v>968.36666666666679</v>
      </c>
      <c r="K64" s="13">
        <f>250+'Saisie maison'!$C$13*5</f>
        <v>250</v>
      </c>
      <c r="L64" s="8">
        <f>700+'Saisie maison'!$C$13*7</f>
        <v>700</v>
      </c>
      <c r="M64" s="13">
        <f>250+'Saisie maison'!$C$14*5</f>
        <v>250</v>
      </c>
      <c r="N64" s="8">
        <f>700+'Saisie maison'!$C$14*7</f>
        <v>700</v>
      </c>
      <c r="O64" s="13">
        <f>250+'Saisie maison'!$C$15*5</f>
        <v>250</v>
      </c>
      <c r="P64" s="8">
        <f>700+'Saisie maison'!$C$15*7</f>
        <v>700</v>
      </c>
      <c r="Q64" s="13">
        <f>250+'Saisie maison'!$C$16*5</f>
        <v>250</v>
      </c>
      <c r="R64" s="8">
        <f>700+'Saisie maison'!$C$16*7</f>
        <v>700</v>
      </c>
      <c r="S64" s="13">
        <f>250+'Saisie maison'!$C$17*5</f>
        <v>250</v>
      </c>
      <c r="T64" s="8">
        <f>700+'Saisie maison'!$C$17*7</f>
        <v>700</v>
      </c>
      <c r="U64" s="15">
        <v>400</v>
      </c>
      <c r="V64" s="15">
        <f t="shared" si="4"/>
        <v>200</v>
      </c>
      <c r="W64" s="15">
        <v>0</v>
      </c>
      <c r="X64" s="15"/>
      <c r="Y64" s="15"/>
      <c r="Z64" s="15"/>
    </row>
    <row r="65" spans="1:26" x14ac:dyDescent="0.3">
      <c r="A65" s="8" t="s">
        <v>152</v>
      </c>
      <c r="B65" s="8">
        <v>31</v>
      </c>
      <c r="C65" s="8">
        <v>4820</v>
      </c>
      <c r="D65" s="8">
        <v>3336</v>
      </c>
      <c r="E65" s="13">
        <f t="shared" si="0"/>
        <v>5302</v>
      </c>
      <c r="F65" s="13">
        <f t="shared" si="1"/>
        <v>3669.6000000000004</v>
      </c>
      <c r="G65" s="13">
        <v>3380.3333333333335</v>
      </c>
      <c r="H65" s="13">
        <v>2340.3333333333335</v>
      </c>
      <c r="I65" s="13">
        <f t="shared" si="2"/>
        <v>3718.3666666666672</v>
      </c>
      <c r="J65" s="14">
        <f t="shared" si="3"/>
        <v>2574.3666666666672</v>
      </c>
      <c r="K65" s="13">
        <f>250+'Saisie maison'!$C$13*5</f>
        <v>250</v>
      </c>
      <c r="L65" s="8">
        <f>700+'Saisie maison'!$C$13*7</f>
        <v>700</v>
      </c>
      <c r="M65" s="13">
        <f>250+'Saisie maison'!$C$14*5</f>
        <v>250</v>
      </c>
      <c r="N65" s="8">
        <f>700+'Saisie maison'!$C$14*7</f>
        <v>700</v>
      </c>
      <c r="O65" s="13">
        <f>250+'Saisie maison'!$C$15*5</f>
        <v>250</v>
      </c>
      <c r="P65" s="8">
        <f>700+'Saisie maison'!$C$15*7</f>
        <v>700</v>
      </c>
      <c r="Q65" s="13">
        <f>250+'Saisie maison'!$C$16*5</f>
        <v>250</v>
      </c>
      <c r="R65" s="8">
        <f>700+'Saisie maison'!$C$16*7</f>
        <v>700</v>
      </c>
      <c r="S65" s="13">
        <f>250+'Saisie maison'!$C$17*5</f>
        <v>250</v>
      </c>
      <c r="T65" s="8">
        <f>700+'Saisie maison'!$C$17*7</f>
        <v>700</v>
      </c>
      <c r="U65" s="15">
        <v>400</v>
      </c>
      <c r="V65" s="15">
        <f t="shared" si="4"/>
        <v>200</v>
      </c>
      <c r="W65" s="15">
        <v>0</v>
      </c>
      <c r="X65" s="15"/>
      <c r="Y65" s="15"/>
      <c r="Z65" s="15"/>
    </row>
    <row r="66" spans="1:26" x14ac:dyDescent="0.3">
      <c r="A66" s="8" t="s">
        <v>153</v>
      </c>
      <c r="B66" s="8">
        <v>37</v>
      </c>
      <c r="C66" s="8">
        <v>6487</v>
      </c>
      <c r="D66" s="8">
        <v>4592</v>
      </c>
      <c r="E66" s="13">
        <f t="shared" si="0"/>
        <v>7135.7000000000007</v>
      </c>
      <c r="F66" s="13">
        <f t="shared" si="1"/>
        <v>5051.2000000000007</v>
      </c>
      <c r="G66" s="13">
        <v>4651</v>
      </c>
      <c r="H66" s="13">
        <v>3291.6666666666665</v>
      </c>
      <c r="I66" s="13">
        <f t="shared" si="2"/>
        <v>5116.1000000000004</v>
      </c>
      <c r="J66" s="14">
        <f t="shared" si="3"/>
        <v>3620.8333333333335</v>
      </c>
      <c r="K66" s="13">
        <f>500+'Saisie maison'!$C$13*6</f>
        <v>500</v>
      </c>
      <c r="L66" s="8">
        <f>1500+'Saisie maison'!$C$13*7</f>
        <v>1500</v>
      </c>
      <c r="M66" s="13">
        <f>500+'Saisie maison'!$C$14*6</f>
        <v>500</v>
      </c>
      <c r="N66" s="8">
        <f>1500+'Saisie maison'!$C$14*7</f>
        <v>1500</v>
      </c>
      <c r="O66" s="13">
        <f>500+'Saisie maison'!$C$15*6</f>
        <v>500</v>
      </c>
      <c r="P66" s="8">
        <f>1500+'Saisie maison'!$C$15*7</f>
        <v>1500</v>
      </c>
      <c r="Q66" s="13">
        <f>500+'Saisie maison'!$C$16*6</f>
        <v>500</v>
      </c>
      <c r="R66" s="8">
        <f>1500+'Saisie maison'!$C$16*7</f>
        <v>1500</v>
      </c>
      <c r="S66" s="13">
        <f>500+'Saisie maison'!$C$17*6</f>
        <v>500</v>
      </c>
      <c r="T66" s="8">
        <f>1500+'Saisie maison'!$C$17*7</f>
        <v>1500</v>
      </c>
      <c r="U66" s="15">
        <v>550</v>
      </c>
      <c r="V66" s="15">
        <f t="shared" si="4"/>
        <v>275</v>
      </c>
      <c r="W66" s="15">
        <v>0</v>
      </c>
      <c r="X66" s="15"/>
      <c r="Y66" s="15"/>
      <c r="Z66" s="15"/>
    </row>
    <row r="67" spans="1:26" x14ac:dyDescent="0.3">
      <c r="A67" s="8" t="s">
        <v>154</v>
      </c>
      <c r="B67" s="8">
        <v>78</v>
      </c>
      <c r="C67" s="8">
        <v>7475</v>
      </c>
      <c r="D67" s="8">
        <v>5369</v>
      </c>
      <c r="E67" s="13">
        <f t="shared" si="0"/>
        <v>8222.5</v>
      </c>
      <c r="F67" s="13">
        <f t="shared" si="1"/>
        <v>5905.9000000000005</v>
      </c>
      <c r="G67" s="13">
        <v>5433</v>
      </c>
      <c r="H67" s="13">
        <v>3906.3333333333335</v>
      </c>
      <c r="I67" s="13">
        <f t="shared" si="2"/>
        <v>5976.3</v>
      </c>
      <c r="J67" s="14">
        <f t="shared" si="3"/>
        <v>4296.9666666666672</v>
      </c>
      <c r="K67" s="13">
        <f>500+'Saisie maison'!$C$13*6</f>
        <v>500</v>
      </c>
      <c r="L67" s="8">
        <f>1600+'Saisie maison'!$C$13*7</f>
        <v>1600</v>
      </c>
      <c r="M67" s="13">
        <f>500+'Saisie maison'!$C$14*6</f>
        <v>500</v>
      </c>
      <c r="N67" s="8">
        <f>1600+'Saisie maison'!$C$14*7</f>
        <v>1600</v>
      </c>
      <c r="O67" s="13">
        <f>500+'Saisie maison'!$C$15*6</f>
        <v>500</v>
      </c>
      <c r="P67" s="8">
        <f>1600+'Saisie maison'!$C$15*7</f>
        <v>1600</v>
      </c>
      <c r="Q67" s="13">
        <f>500+'Saisie maison'!$C$16*6</f>
        <v>500</v>
      </c>
      <c r="R67" s="8">
        <f>1600+'Saisie maison'!$C$16*7</f>
        <v>1600</v>
      </c>
      <c r="S67" s="13">
        <f>500+'Saisie maison'!$C$17*6</f>
        <v>500</v>
      </c>
      <c r="T67" s="8">
        <f>1600+'Saisie maison'!$C$17*7</f>
        <v>1600</v>
      </c>
      <c r="U67" s="15">
        <v>550</v>
      </c>
      <c r="V67" s="15">
        <f t="shared" si="4"/>
        <v>275</v>
      </c>
      <c r="W67" s="15">
        <v>0</v>
      </c>
      <c r="X67" s="15"/>
      <c r="Y67" s="15"/>
      <c r="Z67" s="15"/>
    </row>
    <row r="71" spans="1:26" x14ac:dyDescent="0.3">
      <c r="G71" s="15"/>
      <c r="H71" s="15"/>
    </row>
    <row r="72" spans="1:26" x14ac:dyDescent="0.3">
      <c r="G72" s="15"/>
      <c r="H72" s="15"/>
    </row>
    <row r="73" spans="1:26" x14ac:dyDescent="0.3">
      <c r="G73" s="15"/>
      <c r="H73" s="15"/>
    </row>
    <row r="74" spans="1:26" x14ac:dyDescent="0.3">
      <c r="G74" s="15"/>
      <c r="H74" s="15"/>
    </row>
    <row r="75" spans="1:26" x14ac:dyDescent="0.3">
      <c r="G75" s="15"/>
      <c r="H75" s="15"/>
    </row>
    <row r="76" spans="1:26" x14ac:dyDescent="0.3">
      <c r="G76" s="15"/>
      <c r="H76" s="15"/>
    </row>
    <row r="77" spans="1:26" x14ac:dyDescent="0.3">
      <c r="G77" s="15"/>
      <c r="H77" s="15"/>
    </row>
    <row r="78" spans="1:26" x14ac:dyDescent="0.3">
      <c r="G78" s="15"/>
      <c r="H78" s="15"/>
    </row>
    <row r="79" spans="1:26" x14ac:dyDescent="0.3">
      <c r="G79" s="15"/>
      <c r="H79" s="15"/>
    </row>
    <row r="80" spans="1:26" x14ac:dyDescent="0.3">
      <c r="G80" s="15"/>
      <c r="H80" s="15"/>
    </row>
    <row r="81" spans="7:8" x14ac:dyDescent="0.3">
      <c r="G81" s="15"/>
      <c r="H81" s="15"/>
    </row>
    <row r="82" spans="7:8" x14ac:dyDescent="0.3">
      <c r="G82" s="15"/>
      <c r="H82" s="15"/>
    </row>
    <row r="83" spans="7:8" x14ac:dyDescent="0.3">
      <c r="G83" s="15"/>
      <c r="H83" s="15"/>
    </row>
    <row r="84" spans="7:8" x14ac:dyDescent="0.3">
      <c r="G84" s="15"/>
      <c r="H84" s="15"/>
    </row>
    <row r="85" spans="7:8" x14ac:dyDescent="0.3">
      <c r="G85" s="15"/>
      <c r="H85" s="15"/>
    </row>
    <row r="86" spans="7:8" x14ac:dyDescent="0.3">
      <c r="G86" s="15"/>
      <c r="H86" s="15"/>
    </row>
    <row r="87" spans="7:8" x14ac:dyDescent="0.3">
      <c r="G87" s="15"/>
      <c r="H87" s="15"/>
    </row>
    <row r="88" spans="7:8" x14ac:dyDescent="0.3">
      <c r="G88" s="15"/>
      <c r="H88" s="15"/>
    </row>
    <row r="89" spans="7:8" x14ac:dyDescent="0.3">
      <c r="G89" s="15"/>
      <c r="H89" s="15"/>
    </row>
    <row r="90" spans="7:8" x14ac:dyDescent="0.3">
      <c r="G90" s="15"/>
      <c r="H90" s="15"/>
    </row>
    <row r="91" spans="7:8" x14ac:dyDescent="0.3">
      <c r="G91" s="15"/>
      <c r="H91" s="15"/>
    </row>
    <row r="92" spans="7:8" x14ac:dyDescent="0.3">
      <c r="G92" s="15"/>
      <c r="H92" s="15"/>
    </row>
    <row r="93" spans="7:8" x14ac:dyDescent="0.3">
      <c r="G93" s="15"/>
      <c r="H93" s="15"/>
    </row>
    <row r="94" spans="7:8" x14ac:dyDescent="0.3">
      <c r="G94" s="15"/>
      <c r="H94" s="15"/>
    </row>
    <row r="95" spans="7:8" x14ac:dyDescent="0.3">
      <c r="G95" s="15"/>
      <c r="H95" s="15"/>
    </row>
    <row r="96" spans="7:8" x14ac:dyDescent="0.3">
      <c r="G96" s="15"/>
      <c r="H96" s="15"/>
    </row>
    <row r="97" spans="7:8" x14ac:dyDescent="0.3">
      <c r="G97" s="15"/>
      <c r="H97" s="15"/>
    </row>
    <row r="98" spans="7:8" x14ac:dyDescent="0.3">
      <c r="G98" s="15"/>
      <c r="H98" s="15"/>
    </row>
    <row r="99" spans="7:8" x14ac:dyDescent="0.3">
      <c r="G99" s="15"/>
      <c r="H99" s="15"/>
    </row>
    <row r="100" spans="7:8" x14ac:dyDescent="0.3">
      <c r="G100" s="15"/>
      <c r="H100" s="15"/>
    </row>
    <row r="101" spans="7:8" x14ac:dyDescent="0.3">
      <c r="G101" s="15"/>
      <c r="H101" s="15"/>
    </row>
    <row r="102" spans="7:8" x14ac:dyDescent="0.3">
      <c r="G102" s="15"/>
      <c r="H102" s="15"/>
    </row>
    <row r="103" spans="7:8" x14ac:dyDescent="0.3">
      <c r="G103" s="15"/>
      <c r="H103" s="15"/>
    </row>
    <row r="104" spans="7:8" x14ac:dyDescent="0.3">
      <c r="G104" s="15"/>
      <c r="H104" s="15"/>
    </row>
    <row r="105" spans="7:8" x14ac:dyDescent="0.3">
      <c r="G105" s="15"/>
      <c r="H105" s="15"/>
    </row>
    <row r="106" spans="7:8" x14ac:dyDescent="0.3">
      <c r="G106" s="15"/>
      <c r="H106" s="15"/>
    </row>
    <row r="107" spans="7:8" x14ac:dyDescent="0.3">
      <c r="G107" s="15"/>
      <c r="H107" s="15"/>
    </row>
    <row r="108" spans="7:8" x14ac:dyDescent="0.3">
      <c r="G108" s="15"/>
      <c r="H108" s="15"/>
    </row>
    <row r="109" spans="7:8" x14ac:dyDescent="0.3">
      <c r="G109" s="15"/>
      <c r="H109" s="15"/>
    </row>
    <row r="110" spans="7:8" x14ac:dyDescent="0.3">
      <c r="G110" s="15"/>
      <c r="H110" s="15"/>
    </row>
    <row r="111" spans="7:8" x14ac:dyDescent="0.3">
      <c r="G111" s="15"/>
      <c r="H111" s="15"/>
    </row>
    <row r="112" spans="7:8" x14ac:dyDescent="0.3">
      <c r="G112" s="15"/>
      <c r="H112" s="15"/>
    </row>
    <row r="113" spans="7:8" x14ac:dyDescent="0.3">
      <c r="G113" s="15"/>
      <c r="H113" s="15"/>
    </row>
    <row r="114" spans="7:8" x14ac:dyDescent="0.3">
      <c r="G114" s="15"/>
      <c r="H114" s="15"/>
    </row>
    <row r="115" spans="7:8" x14ac:dyDescent="0.3">
      <c r="G115" s="15"/>
      <c r="H115" s="15"/>
    </row>
    <row r="116" spans="7:8" x14ac:dyDescent="0.3">
      <c r="G116" s="15"/>
      <c r="H116" s="15"/>
    </row>
    <row r="117" spans="7:8" x14ac:dyDescent="0.3">
      <c r="G117" s="15"/>
      <c r="H117" s="15"/>
    </row>
    <row r="118" spans="7:8" x14ac:dyDescent="0.3">
      <c r="G118" s="15"/>
      <c r="H118" s="15"/>
    </row>
    <row r="119" spans="7:8" x14ac:dyDescent="0.3">
      <c r="G119" s="15"/>
      <c r="H119" s="15"/>
    </row>
    <row r="120" spans="7:8" x14ac:dyDescent="0.3">
      <c r="G120" s="15"/>
      <c r="H120" s="15"/>
    </row>
    <row r="121" spans="7:8" x14ac:dyDescent="0.3">
      <c r="G121" s="15"/>
      <c r="H121" s="15"/>
    </row>
    <row r="122" spans="7:8" x14ac:dyDescent="0.3">
      <c r="G122" s="15"/>
      <c r="H122" s="15"/>
    </row>
    <row r="123" spans="7:8" x14ac:dyDescent="0.3">
      <c r="G123" s="15"/>
      <c r="H123" s="15"/>
    </row>
    <row r="124" spans="7:8" x14ac:dyDescent="0.3">
      <c r="G124" s="15"/>
      <c r="H124" s="15"/>
    </row>
    <row r="125" spans="7:8" x14ac:dyDescent="0.3">
      <c r="G125" s="15"/>
      <c r="H125" s="15"/>
    </row>
    <row r="126" spans="7:8" x14ac:dyDescent="0.3">
      <c r="G126" s="15"/>
      <c r="H126" s="15"/>
    </row>
    <row r="127" spans="7:8" x14ac:dyDescent="0.3">
      <c r="G127" s="15"/>
      <c r="H127" s="15"/>
    </row>
    <row r="128" spans="7:8" x14ac:dyDescent="0.3">
      <c r="G128" s="15"/>
      <c r="H128" s="15"/>
    </row>
    <row r="129" spans="7:8" x14ac:dyDescent="0.3">
      <c r="G129" s="15"/>
      <c r="H129" s="15"/>
    </row>
    <row r="130" spans="7:8" x14ac:dyDescent="0.3">
      <c r="G130" s="15"/>
      <c r="H130" s="15"/>
    </row>
    <row r="131" spans="7:8" x14ac:dyDescent="0.3">
      <c r="G131" s="15"/>
      <c r="H131" s="15"/>
    </row>
    <row r="132" spans="7:8" x14ac:dyDescent="0.3">
      <c r="G132" s="15"/>
      <c r="H132" s="15"/>
    </row>
  </sheetData>
  <mergeCells count="46">
    <mergeCell ref="M4:N4"/>
    <mergeCell ref="O4:P4"/>
    <mergeCell ref="BA8:BB8"/>
    <mergeCell ref="BC8:BD8"/>
    <mergeCell ref="BA19:BB19"/>
    <mergeCell ref="BC19:BD19"/>
    <mergeCell ref="BG8:BH8"/>
    <mergeCell ref="AP36:AT36"/>
    <mergeCell ref="AY19:AZ19"/>
    <mergeCell ref="BE19:BF19"/>
    <mergeCell ref="BG19:BH19"/>
    <mergeCell ref="AW21:AW32"/>
    <mergeCell ref="BA35:BB35"/>
    <mergeCell ref="BC35:BD35"/>
    <mergeCell ref="A2:A5"/>
    <mergeCell ref="B2:B5"/>
    <mergeCell ref="AM4:AO4"/>
    <mergeCell ref="AM13:AO13"/>
    <mergeCell ref="Q4:R4"/>
    <mergeCell ref="S4:T4"/>
    <mergeCell ref="AB6:AC6"/>
    <mergeCell ref="AB5:AC5"/>
    <mergeCell ref="AB7:AC7"/>
    <mergeCell ref="AB8:AC8"/>
    <mergeCell ref="K4:L4"/>
    <mergeCell ref="C2:J2"/>
    <mergeCell ref="C3:D4"/>
    <mergeCell ref="I3:J4"/>
    <mergeCell ref="E3:F4"/>
    <mergeCell ref="G3:H4"/>
    <mergeCell ref="AB2:AC2"/>
    <mergeCell ref="AY35:AZ35"/>
    <mergeCell ref="BG35:BH35"/>
    <mergeCell ref="BE35:BF35"/>
    <mergeCell ref="AB9:AC9"/>
    <mergeCell ref="AB17:AC17"/>
    <mergeCell ref="AB18:AC18"/>
    <mergeCell ref="AB19:AC19"/>
    <mergeCell ref="AB10:AC10"/>
    <mergeCell ref="AB11:AC11"/>
    <mergeCell ref="AB13:AC13"/>
    <mergeCell ref="AB14:AC14"/>
    <mergeCell ref="AB15:AC15"/>
    <mergeCell ref="AB16:AC16"/>
    <mergeCell ref="AY8:AZ8"/>
    <mergeCell ref="BE8:BF8"/>
  </mergeCells>
  <conditionalFormatting sqref="AX31">
    <cfRule type="expression" priority="1">
      <formula>$C$22=$BQ$26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5"/>
    <pageSetUpPr fitToPage="1"/>
  </sheetPr>
  <dimension ref="A1:V34"/>
  <sheetViews>
    <sheetView showGridLines="0" zoomScale="80" zoomScaleNormal="80" workbookViewId="0">
      <selection activeCell="F5" sqref="F5"/>
    </sheetView>
  </sheetViews>
  <sheetFormatPr baseColWidth="10" defaultColWidth="11.44140625" defaultRowHeight="14.4" x14ac:dyDescent="0.3"/>
  <cols>
    <col min="1" max="1" width="14.109375" style="179" customWidth="1"/>
    <col min="2" max="2" width="25.88671875" style="179" customWidth="1"/>
    <col min="3" max="3" width="10.33203125" style="179" customWidth="1"/>
    <col min="4" max="4" width="15.109375" style="179" customWidth="1"/>
    <col min="5" max="5" width="38.6640625" style="179" customWidth="1"/>
    <col min="6" max="6" width="18.88671875" style="179" customWidth="1"/>
    <col min="7" max="7" width="20.6640625" style="179" customWidth="1"/>
    <col min="8" max="8" width="17.88671875" style="179" customWidth="1"/>
    <col min="9" max="11" width="11.44140625" style="179"/>
    <col min="12" max="12" width="12.33203125" style="179" customWidth="1"/>
    <col min="13" max="13" width="13" style="179" customWidth="1"/>
    <col min="14" max="16" width="12.33203125" style="179" customWidth="1"/>
    <col min="17" max="19" width="12.88671875" style="179" customWidth="1"/>
    <col min="20" max="21" width="11.33203125" style="179" customWidth="1"/>
    <col min="22" max="16384" width="11.44140625" style="179"/>
  </cols>
  <sheetData>
    <row r="1" spans="1:22" ht="32.1" customHeight="1" x14ac:dyDescent="0.3">
      <c r="A1" s="378" t="s">
        <v>454</v>
      </c>
      <c r="B1" s="378"/>
      <c r="C1" s="378"/>
      <c r="D1" s="378"/>
      <c r="E1" s="378"/>
      <c r="F1" s="378"/>
      <c r="G1" s="378"/>
      <c r="H1" s="378"/>
      <c r="I1" s="378"/>
      <c r="J1" s="378"/>
      <c r="K1" s="378"/>
      <c r="L1" s="378"/>
      <c r="M1" s="378"/>
      <c r="N1" s="378"/>
      <c r="O1" s="378"/>
      <c r="P1" s="378"/>
      <c r="Q1" s="378"/>
      <c r="R1" s="378"/>
      <c r="S1" s="378"/>
      <c r="T1" s="378"/>
      <c r="U1" s="378"/>
      <c r="V1" s="242"/>
    </row>
    <row r="2" spans="1:22" ht="42" customHeight="1" x14ac:dyDescent="0.3">
      <c r="A2" s="379" t="s">
        <v>0</v>
      </c>
      <c r="B2" s="380"/>
      <c r="C2" s="385"/>
      <c r="D2" s="386"/>
      <c r="E2" s="386"/>
      <c r="F2" s="386"/>
      <c r="G2" s="387"/>
      <c r="H2" s="180"/>
      <c r="I2" s="180"/>
      <c r="J2" s="180"/>
      <c r="K2" s="388" t="s">
        <v>391</v>
      </c>
      <c r="L2" s="389"/>
      <c r="M2" s="157"/>
      <c r="N2" s="392" t="s">
        <v>365</v>
      </c>
      <c r="O2" s="393"/>
      <c r="P2" s="181"/>
      <c r="Q2" s="390" t="s">
        <v>424</v>
      </c>
      <c r="R2" s="391"/>
      <c r="S2" s="180"/>
      <c r="T2" s="180"/>
      <c r="U2" s="180"/>
      <c r="V2" s="184"/>
    </row>
    <row r="3" spans="1:22" ht="24.9" customHeight="1" x14ac:dyDescent="0.3">
      <c r="A3" s="276" t="s">
        <v>25</v>
      </c>
      <c r="B3" s="277"/>
      <c r="C3" s="305"/>
      <c r="D3" s="306"/>
      <c r="E3" s="182"/>
      <c r="F3" s="183"/>
      <c r="G3" s="183"/>
      <c r="H3" s="183"/>
      <c r="I3" s="183"/>
      <c r="J3" s="183"/>
      <c r="K3" s="183"/>
      <c r="L3" s="183"/>
      <c r="M3" s="183"/>
      <c r="N3" s="183"/>
      <c r="O3" s="183"/>
      <c r="P3" s="183"/>
      <c r="Q3" s="183"/>
      <c r="R3" s="183"/>
      <c r="S3" s="183"/>
      <c r="T3" s="183"/>
      <c r="U3" s="183"/>
      <c r="V3" s="186"/>
    </row>
    <row r="4" spans="1:22" ht="24.9" customHeight="1" x14ac:dyDescent="0.3">
      <c r="A4" s="285" t="s">
        <v>26</v>
      </c>
      <c r="B4" s="316"/>
      <c r="C4" s="383"/>
      <c r="D4" s="384"/>
      <c r="E4" s="185"/>
      <c r="F4" s="162"/>
      <c r="G4" s="162"/>
      <c r="H4" s="162"/>
      <c r="I4" s="162"/>
      <c r="J4" s="162"/>
      <c r="K4" s="162"/>
      <c r="L4" s="162"/>
      <c r="M4" s="162"/>
      <c r="N4" s="162"/>
      <c r="O4" s="162"/>
      <c r="P4" s="162"/>
      <c r="Q4" s="296" t="s">
        <v>426</v>
      </c>
      <c r="R4" s="297"/>
      <c r="S4" s="297"/>
      <c r="T4" s="297"/>
      <c r="U4" s="298"/>
      <c r="V4" s="188"/>
    </row>
    <row r="5" spans="1:22" ht="33" customHeight="1" x14ac:dyDescent="0.3">
      <c r="A5" s="276" t="s">
        <v>27</v>
      </c>
      <c r="B5" s="277"/>
      <c r="C5" s="381"/>
      <c r="D5" s="382"/>
      <c r="E5" s="187"/>
      <c r="F5" s="157"/>
      <c r="G5" s="157"/>
      <c r="H5" s="157"/>
      <c r="I5" s="157"/>
      <c r="J5" s="157"/>
      <c r="K5" s="157"/>
      <c r="L5" s="157"/>
      <c r="M5" s="157"/>
      <c r="N5" s="157"/>
      <c r="O5" s="157"/>
      <c r="P5" s="157"/>
      <c r="Q5" s="299"/>
      <c r="R5" s="300"/>
      <c r="S5" s="300"/>
      <c r="T5" s="300"/>
      <c r="U5" s="301"/>
      <c r="V5" s="163"/>
    </row>
    <row r="6" spans="1:22" ht="60" customHeight="1" x14ac:dyDescent="0.3">
      <c r="A6" s="285" t="s">
        <v>463</v>
      </c>
      <c r="B6" s="316"/>
      <c r="C6" s="136"/>
      <c r="D6" s="185"/>
      <c r="E6" s="189"/>
      <c r="F6" s="189"/>
      <c r="G6" s="162"/>
      <c r="H6" s="162"/>
      <c r="I6" s="162"/>
      <c r="J6" s="162"/>
      <c r="K6" s="162"/>
      <c r="L6" s="162"/>
      <c r="M6" s="162"/>
      <c r="N6" s="162"/>
      <c r="O6" s="162"/>
      <c r="P6" s="162"/>
      <c r="Q6" s="299"/>
      <c r="R6" s="300"/>
      <c r="S6" s="300"/>
      <c r="T6" s="300"/>
      <c r="U6" s="301"/>
      <c r="V6" s="188"/>
    </row>
    <row r="7" spans="1:22" ht="43.2" x14ac:dyDescent="0.3">
      <c r="A7" s="276" t="s">
        <v>462</v>
      </c>
      <c r="B7" s="277"/>
      <c r="C7" s="128"/>
      <c r="D7" s="187"/>
      <c r="E7" s="167" t="s">
        <v>461</v>
      </c>
      <c r="F7" s="128"/>
      <c r="G7" s="167" t="s">
        <v>460</v>
      </c>
      <c r="H7" s="128"/>
      <c r="I7" s="187"/>
      <c r="J7" s="157"/>
      <c r="K7" s="181"/>
      <c r="L7" s="181"/>
      <c r="M7" s="181"/>
      <c r="N7" s="181"/>
      <c r="O7" s="181"/>
      <c r="P7" s="184"/>
      <c r="Q7" s="302"/>
      <c r="R7" s="303"/>
      <c r="S7" s="303"/>
      <c r="T7" s="303"/>
      <c r="U7" s="304"/>
      <c r="V7" s="188"/>
    </row>
    <row r="8" spans="1:22" ht="29.25" customHeight="1" x14ac:dyDescent="0.3">
      <c r="A8" s="276" t="s">
        <v>465</v>
      </c>
      <c r="B8" s="277"/>
      <c r="C8" s="128"/>
      <c r="D8" s="157"/>
      <c r="E8" s="167" t="s">
        <v>227</v>
      </c>
      <c r="F8" s="235"/>
      <c r="G8" s="187"/>
      <c r="H8" s="157"/>
      <c r="I8" s="157"/>
      <c r="J8" s="157"/>
      <c r="K8" s="157"/>
      <c r="L8" s="157"/>
      <c r="M8" s="157"/>
      <c r="N8" s="157"/>
      <c r="O8" s="157"/>
      <c r="P8" s="157"/>
      <c r="Q8" s="157"/>
      <c r="R8" s="157"/>
      <c r="S8" s="157"/>
      <c r="T8" s="157"/>
      <c r="U8" s="157"/>
      <c r="V8" s="188"/>
    </row>
    <row r="9" spans="1:22" x14ac:dyDescent="0.3">
      <c r="A9" s="269" t="s">
        <v>307</v>
      </c>
      <c r="B9" s="270"/>
      <c r="C9" s="269" t="s">
        <v>299</v>
      </c>
      <c r="D9" s="273" t="s">
        <v>309</v>
      </c>
      <c r="E9" s="273" t="s">
        <v>300</v>
      </c>
      <c r="F9" s="273" t="s">
        <v>301</v>
      </c>
      <c r="G9" s="273" t="s">
        <v>297</v>
      </c>
      <c r="H9" s="273" t="s">
        <v>302</v>
      </c>
      <c r="I9" s="276" t="s">
        <v>28</v>
      </c>
      <c r="J9" s="277"/>
      <c r="K9" s="273" t="s">
        <v>228</v>
      </c>
      <c r="L9" s="276" t="s">
        <v>319</v>
      </c>
      <c r="M9" s="278"/>
      <c r="N9" s="278"/>
      <c r="O9" s="278"/>
      <c r="P9" s="277"/>
      <c r="Q9" s="276" t="s">
        <v>339</v>
      </c>
      <c r="R9" s="278"/>
      <c r="S9" s="278"/>
      <c r="T9" s="273" t="s">
        <v>366</v>
      </c>
      <c r="U9" s="273" t="s">
        <v>406</v>
      </c>
      <c r="V9" s="273" t="s">
        <v>312</v>
      </c>
    </row>
    <row r="10" spans="1:22" ht="62.25" customHeight="1" x14ac:dyDescent="0.3">
      <c r="A10" s="271"/>
      <c r="B10" s="272"/>
      <c r="C10" s="271"/>
      <c r="D10" s="274"/>
      <c r="E10" s="274"/>
      <c r="F10" s="274"/>
      <c r="G10" s="274"/>
      <c r="H10" s="274"/>
      <c r="I10" s="167" t="s">
        <v>177</v>
      </c>
      <c r="J10" s="167" t="s">
        <v>178</v>
      </c>
      <c r="K10" s="274"/>
      <c r="L10" s="168" t="s">
        <v>318</v>
      </c>
      <c r="M10" s="168" t="s">
        <v>320</v>
      </c>
      <c r="N10" s="168" t="s">
        <v>321</v>
      </c>
      <c r="O10" s="168" t="s">
        <v>315</v>
      </c>
      <c r="P10" s="168" t="s">
        <v>316</v>
      </c>
      <c r="Q10" s="169" t="s">
        <v>369</v>
      </c>
      <c r="R10" s="170" t="s">
        <v>368</v>
      </c>
      <c r="S10" s="170" t="s">
        <v>340</v>
      </c>
      <c r="T10" s="274"/>
      <c r="U10" s="274"/>
      <c r="V10" s="274"/>
    </row>
    <row r="11" spans="1:22" ht="30" customHeight="1" x14ac:dyDescent="0.3">
      <c r="A11" s="167" t="s">
        <v>1</v>
      </c>
      <c r="B11" s="234"/>
      <c r="C11" s="234"/>
      <c r="D11" s="128"/>
      <c r="E11" s="128"/>
      <c r="F11" s="128"/>
      <c r="G11" s="128"/>
      <c r="H11" s="128"/>
      <c r="I11" s="234"/>
      <c r="J11" s="234"/>
      <c r="K11" s="233"/>
      <c r="L11" s="233"/>
      <c r="M11" s="233"/>
      <c r="N11" s="233"/>
      <c r="O11" s="233"/>
      <c r="P11" s="233"/>
      <c r="Q11" s="130"/>
      <c r="R11" s="130"/>
      <c r="S11" s="232">
        <f>IF(OR(Q11="RSA parent isolé",R11="RSA parent isolé"),IF(I11+J11=1,Ressources!$F$8,IF(I11+J11=2,Ressources!$G$8,IF(I11+J11=3,Ressources!$H$8,IF(I11+J11&gt;3,Ressources!$H$8+(I11+J11-3)*Ressources!$I$8,0)))),IF(AND(Q11="ASPA",R11="ASPA"),Ressources!$F$17,IF(AND('Saisie immeuble'!R11="RSA socle",'Saisie immeuble'!Q11="RSA socle"),IF(('Saisie immeuble'!I11+'Saisie immeuble'!J11)&gt;5,Ressources!$I$4+Ressources!$J$4*(('Saisie immeuble'!I11+'Saisie immeuble'!J11)-5),IF(('Saisie immeuble'!I11+'Saisie immeuble'!J11)=2,Ressources!$F$4,IF(('Saisie immeuble'!I11+'Saisie immeuble'!J11)=3,Ressources!$G$4,IF(('Saisie immeuble'!I11+'Saisie immeuble'!J11)=4,Ressources!$H$4,IF(('Saisie immeuble'!I11+'Saisie immeuble'!J11)=5,Ressources!$I$4,0))))), IF(OR(AND('Saisie immeuble'!R11="RSA socle",'Saisie immeuble'!Q11&lt;&gt;"RSA socle"),AND('Saisie immeuble'!Q11="RSA socle",'Saisie immeuble'!R11&lt;&gt;"RSA socle")),IF(('Saisie immeuble'!I11+'Saisie immeuble'!J11)&gt;4,Ressources!$I$3+Ressources!$J$3*(('Saisie immeuble'!I11+'Saisie immeuble'!J11)-4),IF(('Saisie immeuble'!I11+'Saisie immeuble'!J11)=1,Ressources!$F$3,IF(('Saisie immeuble'!I11+'Saisie immeuble'!J11)=2,Ressources!$G$3,IF(('Saisie immeuble'!I11+'Saisie immeuble'!J11)=3,Ressources!$H$3,IF(('Saisie immeuble'!I11+'Saisie immeuble'!J11)=4,Ressources!$I$3,0))))))+IF(Q11=Ressources!$A$3,Ressources!$B$3,IF(Q11=Ressources!$A$5,Ressources!$B$5,IF(Q11=Ressources!$A$6,Ressources!$B$6,IF(Q11=Ressources!$A$7,Ressources!$B$7,IF(Q11=Ressources!$A$8,Ressources!$B$8,IF(Q11=Ressources!$A$9,Ressources!$B$9,IF(Q11=Ressources!$A$10,Ressources!$B$10,IF(Q11=Ressources!$A$11,Ressources!$B$11,0))))))))+IF(R11=Ressources!$A$3,Ressources!$B$3,IF(R11=Ressources!$A$5,Ressources!$B$5,IF(R11=Ressources!$A$6,Ressources!$B$6,IF(R11=Ressources!$A$7,Ressources!$B$7,IF(R11=Ressources!$A$8,Ressources!$B$8,IF(R11=Ressources!$A$9,Ressources!$B$9,IF(R11=Ressources!$A$10,Ressources!$B$10,IF(R11=Ressources!$A$11,Ressources!$B$11,0)))))))))))</f>
        <v>0</v>
      </c>
      <c r="T11" s="232">
        <f>IF(AND(Q11&lt;&gt;0,R11&lt;&gt;0),IF((I11+J11)&gt;6,Ressources!$H$12+(I11+J11-6)*Ressources!$I$12+('Saisie immeuble'!I11-2)*Ressources!$I$13,IF((I11+J11)=6,Ressources!$H$12+('Saisie immeuble'!I11-2)*Ressources!$H$13,IF((I11+J11)=5,Ressources!$G$12+('Saisie immeuble'!I11-2)*Ressources!$G$13,IF((I11+J11)=4,Ressources!$F$12+('Saisie immeuble'!I11-2)*Ressources!$F$13,0)))),IF(OR(Q11=0,R11=0),IF((I11+J11)&gt;5,Ressources!$H$12+(I11+J11-5)*Ressources!$I$12+('Saisie immeuble'!I11-1)*Ressources!$I$13,IF((I11+J11)=5,Ressources!$H$12+('Saisie immeuble'!I11-1)*Ressources!$H$13,IF((I11+J11)=4,Ressources!$G$12+('Saisie immeuble'!I11-1)*Ressources!$G$13,IF((I11+J11)=3,Ressources!$F$12+('Saisie immeuble'!I11-1)*Ressources!$F$13,0))))))</f>
        <v>0</v>
      </c>
      <c r="U11" s="232">
        <f>IF(ISERROR('Cheque Energie'!G24),0,'Cheque Energie'!G24)</f>
        <v>0</v>
      </c>
      <c r="V11" s="233"/>
    </row>
    <row r="12" spans="1:22" ht="30" customHeight="1" x14ac:dyDescent="0.3">
      <c r="A12" s="167" t="s">
        <v>2</v>
      </c>
      <c r="B12" s="234"/>
      <c r="C12" s="234"/>
      <c r="D12" s="128"/>
      <c r="E12" s="128"/>
      <c r="F12" s="128"/>
      <c r="G12" s="128"/>
      <c r="H12" s="128"/>
      <c r="I12" s="234"/>
      <c r="J12" s="234"/>
      <c r="K12" s="233"/>
      <c r="L12" s="233"/>
      <c r="M12" s="233"/>
      <c r="N12" s="233"/>
      <c r="O12" s="233"/>
      <c r="P12" s="233"/>
      <c r="Q12" s="130"/>
      <c r="R12" s="130"/>
      <c r="S12" s="232">
        <f>IF(OR(Q12="RSA parent isolé",R12="RSA parent isolé"),IF(I12+J12=1,Ressources!$F$8,IF(I12+J12=2,Ressources!$G$8,IF(I12+J12=3,Ressources!$H$8,IF(I12+J12&gt;3,Ressources!$H$8+(I12+J12-3)*Ressources!$I$8,0)))),IF(AND(Q12="ASPA",R12="ASPA"),Ressources!$F$17,IF(AND('Saisie immeuble'!R12="RSA socle",'Saisie immeuble'!Q12="RSA socle"),IF(('Saisie immeuble'!I12+'Saisie immeuble'!J12)&gt;5,Ressources!$I$4+Ressources!$J$4*(('Saisie immeuble'!I12+'Saisie immeuble'!J12)-5),IF(('Saisie immeuble'!I12+'Saisie immeuble'!J12)=2,Ressources!$F$4,IF(('Saisie immeuble'!I12+'Saisie immeuble'!J12)=3,Ressources!$G$4,IF(('Saisie immeuble'!I12+'Saisie immeuble'!J12)=4,Ressources!$H$4,IF(('Saisie immeuble'!I12+'Saisie immeuble'!J12)=5,Ressources!$I$4,0))))), IF(OR(AND('Saisie immeuble'!R12="RSA socle",'Saisie immeuble'!Q12&lt;&gt;"RSA socle"),AND('Saisie immeuble'!Q12="RSA socle",'Saisie immeuble'!R12&lt;&gt;"RSA socle")),IF(('Saisie immeuble'!I12+'Saisie immeuble'!J12)&gt;4,Ressources!$I$3+Ressources!$J$3*(('Saisie immeuble'!I12+'Saisie immeuble'!J12)-4),IF(('Saisie immeuble'!I12+'Saisie immeuble'!J12)=1,Ressources!$F$3,IF(('Saisie immeuble'!I12+'Saisie immeuble'!J12)=2,Ressources!$G$3,IF(('Saisie immeuble'!I12+'Saisie immeuble'!J12)=3,Ressources!$H$3,IF(('Saisie immeuble'!I12+'Saisie immeuble'!J12)=4,Ressources!$I$3,0))))))+IF(Q12=Ressources!$A$3,Ressources!$B$3,IF(Q12=Ressources!$A$5,Ressources!$B$5,IF(Q12=Ressources!$A$6,Ressources!$B$6,IF(Q12=Ressources!$A$7,Ressources!$B$7,IF(Q12=Ressources!$A$8,Ressources!$B$8,IF(Q12=Ressources!$A$9,Ressources!$B$9,IF(Q12=Ressources!$A$10,Ressources!$B$10,IF(Q12=Ressources!$A$11,Ressources!$B$11,0))))))))+IF(R12=Ressources!$A$3,Ressources!$B$3,IF(R12=Ressources!$A$5,Ressources!$B$5,IF(R12=Ressources!$A$6,Ressources!$B$6,IF(R12=Ressources!$A$7,Ressources!$B$7,IF(R12=Ressources!$A$8,Ressources!$B$8,IF(R12=Ressources!$A$9,Ressources!$B$9,IF(R12=Ressources!$A$10,Ressources!$B$10,IF(R12=Ressources!$A$11,Ressources!$B$11,0)))))))))))</f>
        <v>0</v>
      </c>
      <c r="T12" s="232">
        <f>IF(AND(Q12&lt;&gt;0,R12&lt;&gt;0),IF((I12+J12)&gt;6,Ressources!$H$12+(I12+J12-6)*Ressources!$I$12+('Saisie immeuble'!I12-2)*Ressources!$I$13,IF((I12+J12)=6,Ressources!$H$12+('Saisie immeuble'!I12-2)*Ressources!$H$13,IF((I12+J12)=5,Ressources!$G$12+('Saisie immeuble'!I12-2)*Ressources!$G$13,IF((I12+J12)=4,Ressources!$F$12+('Saisie immeuble'!I12-2)*Ressources!$F$13,0)))),IF(OR(Q12=0,R12=0),IF((I12+J12)&gt;5,Ressources!$H$12+(I12+J12-5)*Ressources!$I$12+('Saisie immeuble'!I12-1)*Ressources!$I$13,IF((I12+J12)=5,Ressources!$H$12+('Saisie immeuble'!I12-1)*Ressources!$H$13,IF((I12+J12)=4,Ressources!$G$12+('Saisie immeuble'!I12-1)*Ressources!$G$13,IF((I12+J12)=3,Ressources!$F$12+('Saisie immeuble'!I12-1)*Ressources!$F$13,0))))))</f>
        <v>0</v>
      </c>
      <c r="U12" s="232">
        <f>IF(ISERROR('Cheque Energie'!G25),0,'Cheque Energie'!G25)</f>
        <v>0</v>
      </c>
      <c r="V12" s="233"/>
    </row>
    <row r="13" spans="1:22" ht="30" customHeight="1" x14ac:dyDescent="0.3">
      <c r="A13" s="167" t="s">
        <v>3</v>
      </c>
      <c r="B13" s="234"/>
      <c r="C13" s="234"/>
      <c r="D13" s="128"/>
      <c r="E13" s="128"/>
      <c r="F13" s="128"/>
      <c r="G13" s="128"/>
      <c r="H13" s="128"/>
      <c r="I13" s="234"/>
      <c r="J13" s="234"/>
      <c r="K13" s="233"/>
      <c r="L13" s="233"/>
      <c r="M13" s="233"/>
      <c r="N13" s="233"/>
      <c r="O13" s="233"/>
      <c r="P13" s="233"/>
      <c r="Q13" s="130"/>
      <c r="R13" s="130"/>
      <c r="S13" s="232">
        <f>IF(OR(Q13="RSA parent isolé",R13="RSA parent isolé"),IF(I13+J13=1,Ressources!$F$8,IF(I13+J13=2,Ressources!$G$8,IF(I13+J13=3,Ressources!$H$8,IF(I13+J13&gt;3,Ressources!$H$8+(I13+J13-3)*Ressources!$I$8,0)))),IF(AND(Q13="ASPA",R13="ASPA"),Ressources!$F$17,IF(AND('Saisie immeuble'!R13="RSA socle",'Saisie immeuble'!Q13="RSA socle"),IF(('Saisie immeuble'!I13+'Saisie immeuble'!J13)&gt;5,Ressources!$I$4+Ressources!$J$4*(('Saisie immeuble'!I13+'Saisie immeuble'!J13)-5),IF(('Saisie immeuble'!I13+'Saisie immeuble'!J13)=2,Ressources!$F$4,IF(('Saisie immeuble'!I13+'Saisie immeuble'!J13)=3,Ressources!$G$4,IF(('Saisie immeuble'!I13+'Saisie immeuble'!J13)=4,Ressources!$H$4,IF(('Saisie immeuble'!I13+'Saisie immeuble'!J13)=5,Ressources!$I$4,0))))), IF(OR(AND('Saisie immeuble'!R13="RSA socle",'Saisie immeuble'!Q13&lt;&gt;"RSA socle"),AND('Saisie immeuble'!Q13="RSA socle",'Saisie immeuble'!R13&lt;&gt;"RSA socle")),IF(('Saisie immeuble'!I13+'Saisie immeuble'!J13)&gt;4,Ressources!$I$3+Ressources!$J$3*(('Saisie immeuble'!I13+'Saisie immeuble'!J13)-4),IF(('Saisie immeuble'!I13+'Saisie immeuble'!J13)=1,Ressources!$F$3,IF(('Saisie immeuble'!I13+'Saisie immeuble'!J13)=2,Ressources!$G$3,IF(('Saisie immeuble'!I13+'Saisie immeuble'!J13)=3,Ressources!$H$3,IF(('Saisie immeuble'!I13+'Saisie immeuble'!J13)=4,Ressources!$I$3,0))))))+IF(Q13=Ressources!$A$3,Ressources!$B$3,IF(Q13=Ressources!$A$5,Ressources!$B$5,IF(Q13=Ressources!$A$6,Ressources!$B$6,IF(Q13=Ressources!$A$7,Ressources!$B$7,IF(Q13=Ressources!$A$8,Ressources!$B$8,IF(Q13=Ressources!$A$9,Ressources!$B$9,IF(Q13=Ressources!$A$10,Ressources!$B$10,IF(Q13=Ressources!$A$11,Ressources!$B$11,0))))))))+IF(R13=Ressources!$A$3,Ressources!$B$3,IF(R13=Ressources!$A$5,Ressources!$B$5,IF(R13=Ressources!$A$6,Ressources!$B$6,IF(R13=Ressources!$A$7,Ressources!$B$7,IF(R13=Ressources!$A$8,Ressources!$B$8,IF(R13=Ressources!$A$9,Ressources!$B$9,IF(R13=Ressources!$A$10,Ressources!$B$10,IF(R13=Ressources!$A$11,Ressources!$B$11,0)))))))))))</f>
        <v>0</v>
      </c>
      <c r="T13" s="232">
        <f>IF(AND(Q13&lt;&gt;0,R13&lt;&gt;0),IF((I13+J13)&gt;6,Ressources!$H$12+(I13+J13-6)*Ressources!$I$12+('Saisie immeuble'!I13-2)*Ressources!$I$13,IF((I13+J13)=6,Ressources!$H$12+('Saisie immeuble'!I13-2)*Ressources!$H$13,IF((I13+J13)=5,Ressources!$G$12+('Saisie immeuble'!I13-2)*Ressources!$G$13,IF((I13+J13)=4,Ressources!$F$12+('Saisie immeuble'!I13-2)*Ressources!$F$13,0)))),IF(OR(Q13=0,R13=0),IF((I13+J13)&gt;5,Ressources!$H$12+(I13+J13-5)*Ressources!$I$12+('Saisie immeuble'!I13-1)*Ressources!$I$13,IF((I13+J13)=5,Ressources!$H$12+('Saisie immeuble'!I13-1)*Ressources!$H$13,IF((I13+J13)=4,Ressources!$G$12+('Saisie immeuble'!I13-1)*Ressources!$G$13,IF((I13+J13)=3,Ressources!$F$12+('Saisie immeuble'!I13-1)*Ressources!$F$13,0))))))</f>
        <v>0</v>
      </c>
      <c r="U13" s="232">
        <f>IF(ISERROR('Cheque Energie'!G26),0,'Cheque Energie'!G26)</f>
        <v>0</v>
      </c>
      <c r="V13" s="233"/>
    </row>
    <row r="14" spans="1:22" ht="30" customHeight="1" x14ac:dyDescent="0.3">
      <c r="A14" s="167" t="s">
        <v>4</v>
      </c>
      <c r="B14" s="234"/>
      <c r="C14" s="234"/>
      <c r="D14" s="128"/>
      <c r="E14" s="128"/>
      <c r="F14" s="128"/>
      <c r="G14" s="128"/>
      <c r="H14" s="128"/>
      <c r="I14" s="234"/>
      <c r="J14" s="234"/>
      <c r="K14" s="233"/>
      <c r="L14" s="233"/>
      <c r="M14" s="233"/>
      <c r="N14" s="233"/>
      <c r="O14" s="233"/>
      <c r="P14" s="233"/>
      <c r="Q14" s="130"/>
      <c r="R14" s="130"/>
      <c r="S14" s="232">
        <f>IF(OR(Q14="RSA parent isolé",R14="RSA parent isolé"),IF(I14+J14=1,Ressources!$F$8,IF(I14+J14=2,Ressources!$G$8,IF(I14+J14=3,Ressources!$H$8,IF(I14+J14&gt;3,Ressources!$H$8+(I14+J14-3)*Ressources!$I$8,0)))),IF(AND(Q14="ASPA",R14="ASPA"),Ressources!$F$17,IF(AND('Saisie immeuble'!R14="RSA socle",'Saisie immeuble'!Q14="RSA socle"),IF(('Saisie immeuble'!I14+'Saisie immeuble'!J14)&gt;5,Ressources!$I$4+Ressources!$J$4*(('Saisie immeuble'!I14+'Saisie immeuble'!J14)-5),IF(('Saisie immeuble'!I14+'Saisie immeuble'!J14)=2,Ressources!$F$4,IF(('Saisie immeuble'!I14+'Saisie immeuble'!J14)=3,Ressources!$G$4,IF(('Saisie immeuble'!I14+'Saisie immeuble'!J14)=4,Ressources!$H$4,IF(('Saisie immeuble'!I14+'Saisie immeuble'!J14)=5,Ressources!$I$4,0))))), IF(OR(AND('Saisie immeuble'!R14="RSA socle",'Saisie immeuble'!Q14&lt;&gt;"RSA socle"),AND('Saisie immeuble'!Q14="RSA socle",'Saisie immeuble'!R14&lt;&gt;"RSA socle")),IF(('Saisie immeuble'!I14+'Saisie immeuble'!J14)&gt;4,Ressources!$I$3+Ressources!$J$3*(('Saisie immeuble'!I14+'Saisie immeuble'!J14)-4),IF(('Saisie immeuble'!I14+'Saisie immeuble'!J14)=1,Ressources!$F$3,IF(('Saisie immeuble'!I14+'Saisie immeuble'!J14)=2,Ressources!$G$3,IF(('Saisie immeuble'!I14+'Saisie immeuble'!J14)=3,Ressources!$H$3,IF(('Saisie immeuble'!I14+'Saisie immeuble'!J14)=4,Ressources!$I$3,0))))))+IF(Q14=Ressources!$A$3,Ressources!$B$3,IF(Q14=Ressources!$A$5,Ressources!$B$5,IF(Q14=Ressources!$A$6,Ressources!$B$6,IF(Q14=Ressources!$A$7,Ressources!$B$7,IF(Q14=Ressources!$A$8,Ressources!$B$8,IF(Q14=Ressources!$A$9,Ressources!$B$9,IF(Q14=Ressources!$A$10,Ressources!$B$10,IF(Q14=Ressources!$A$11,Ressources!$B$11,0))))))))+IF(R14=Ressources!$A$3,Ressources!$B$3,IF(R14=Ressources!$A$5,Ressources!$B$5,IF(R14=Ressources!$A$6,Ressources!$B$6,IF(R14=Ressources!$A$7,Ressources!$B$7,IF(R14=Ressources!$A$8,Ressources!$B$8,IF(R14=Ressources!$A$9,Ressources!$B$9,IF(R14=Ressources!$A$10,Ressources!$B$10,IF(R14=Ressources!$A$11,Ressources!$B$11,0)))))))))))</f>
        <v>0</v>
      </c>
      <c r="T14" s="232">
        <f>IF(AND(Q14&lt;&gt;0,R14&lt;&gt;0),IF((I14+J14)&gt;6,Ressources!$H$12+(I14+J14-6)*Ressources!$I$12+('Saisie immeuble'!I14-2)*Ressources!$I$13,IF((I14+J14)=6,Ressources!$H$12+('Saisie immeuble'!I14-2)*Ressources!$H$13,IF((I14+J14)=5,Ressources!$G$12+('Saisie immeuble'!I14-2)*Ressources!$G$13,IF((I14+J14)=4,Ressources!$F$12+('Saisie immeuble'!I14-2)*Ressources!$F$13,0)))),IF(OR(Q14=0,R14=0),IF((I14+J14)&gt;5,Ressources!$H$12+(I14+J14-5)*Ressources!$I$12+('Saisie immeuble'!I14-1)*Ressources!$I$13,IF((I14+J14)=5,Ressources!$H$12+('Saisie immeuble'!I14-1)*Ressources!$H$13,IF((I14+J14)=4,Ressources!$G$12+('Saisie immeuble'!I14-1)*Ressources!$G$13,IF((I14+J14)=3,Ressources!$F$12+('Saisie immeuble'!I14-1)*Ressources!$F$13,0))))))</f>
        <v>0</v>
      </c>
      <c r="U14" s="232">
        <f>IF(ISERROR('Cheque Energie'!G27),0,'Cheque Energie'!G27)</f>
        <v>0</v>
      </c>
      <c r="V14" s="233"/>
    </row>
    <row r="15" spans="1:22" ht="30" customHeight="1" x14ac:dyDescent="0.3">
      <c r="A15" s="167" t="s">
        <v>5</v>
      </c>
      <c r="B15" s="234"/>
      <c r="C15" s="234"/>
      <c r="D15" s="128"/>
      <c r="E15" s="128"/>
      <c r="F15" s="128"/>
      <c r="G15" s="128"/>
      <c r="H15" s="128"/>
      <c r="I15" s="234"/>
      <c r="J15" s="234"/>
      <c r="K15" s="233"/>
      <c r="L15" s="233"/>
      <c r="M15" s="233"/>
      <c r="N15" s="233"/>
      <c r="O15" s="233"/>
      <c r="P15" s="233"/>
      <c r="Q15" s="130"/>
      <c r="R15" s="130"/>
      <c r="S15" s="232">
        <f>IF(OR(Q15="RSA parent isolé",R15="RSA parent isolé"),IF(I15+J15=1,Ressources!$F$8,IF(I15+J15=2,Ressources!$G$8,IF(I15+J15=3,Ressources!$H$8,IF(I15+J15&gt;3,Ressources!$H$8+(I15+J15-3)*Ressources!$I$8,0)))),IF(AND(Q15="ASPA",R15="ASPA"),Ressources!$F$17,IF(AND('Saisie immeuble'!R15="RSA socle",'Saisie immeuble'!Q15="RSA socle"),IF(('Saisie immeuble'!I15+'Saisie immeuble'!J15)&gt;5,Ressources!$I$4+Ressources!$J$4*(('Saisie immeuble'!I15+'Saisie immeuble'!J15)-5),IF(('Saisie immeuble'!I15+'Saisie immeuble'!J15)=2,Ressources!$F$4,IF(('Saisie immeuble'!I15+'Saisie immeuble'!J15)=3,Ressources!$G$4,IF(('Saisie immeuble'!I15+'Saisie immeuble'!J15)=4,Ressources!$H$4,IF(('Saisie immeuble'!I15+'Saisie immeuble'!J15)=5,Ressources!$I$4,0))))), IF(OR(AND('Saisie immeuble'!R15="RSA socle",'Saisie immeuble'!Q15&lt;&gt;"RSA socle"),AND('Saisie immeuble'!Q15="RSA socle",'Saisie immeuble'!R15&lt;&gt;"RSA socle")),IF(('Saisie immeuble'!I15+'Saisie immeuble'!J15)&gt;4,Ressources!$I$3+Ressources!$J$3*(('Saisie immeuble'!I15+'Saisie immeuble'!J15)-4),IF(('Saisie immeuble'!I15+'Saisie immeuble'!J15)=1,Ressources!$F$3,IF(('Saisie immeuble'!I15+'Saisie immeuble'!J15)=2,Ressources!$G$3,IF(('Saisie immeuble'!I15+'Saisie immeuble'!J15)=3,Ressources!$H$3,IF(('Saisie immeuble'!I15+'Saisie immeuble'!J15)=4,Ressources!$I$3,0))))))+IF(Q15=Ressources!$A$3,Ressources!$B$3,IF(Q15=Ressources!$A$5,Ressources!$B$5,IF(Q15=Ressources!$A$6,Ressources!$B$6,IF(Q15=Ressources!$A$7,Ressources!$B$7,IF(Q15=Ressources!$A$8,Ressources!$B$8,IF(Q15=Ressources!$A$9,Ressources!$B$9,IF(Q15=Ressources!$A$10,Ressources!$B$10,IF(Q15=Ressources!$A$11,Ressources!$B$11,0))))))))+IF(R15=Ressources!$A$3,Ressources!$B$3,IF(R15=Ressources!$A$5,Ressources!$B$5,IF(R15=Ressources!$A$6,Ressources!$B$6,IF(R15=Ressources!$A$7,Ressources!$B$7,IF(R15=Ressources!$A$8,Ressources!$B$8,IF(R15=Ressources!$A$9,Ressources!$B$9,IF(R15=Ressources!$A$10,Ressources!$B$10,IF(R15=Ressources!$A$11,Ressources!$B$11,0)))))))))))</f>
        <v>0</v>
      </c>
      <c r="T15" s="232">
        <f>IF(AND(Q15&lt;&gt;0,R15&lt;&gt;0),IF((I15+J15)&gt;6,Ressources!$H$12+(I15+J15-6)*Ressources!$I$12+('Saisie immeuble'!I15-2)*Ressources!$I$13,IF((I15+J15)=6,Ressources!$H$12+('Saisie immeuble'!I15-2)*Ressources!$H$13,IF((I15+J15)=5,Ressources!$G$12+('Saisie immeuble'!I15-2)*Ressources!$G$13,IF((I15+J15)=4,Ressources!$F$12+('Saisie immeuble'!I15-2)*Ressources!$F$13,0)))),IF(OR(Q15=0,R15=0),IF((I15+J15)&gt;5,Ressources!$H$12+(I15+J15-5)*Ressources!$I$12+('Saisie immeuble'!I15-1)*Ressources!$I$13,IF((I15+J15)=5,Ressources!$H$12+('Saisie immeuble'!I15-1)*Ressources!$H$13,IF((I15+J15)=4,Ressources!$G$12+('Saisie immeuble'!I15-1)*Ressources!$G$13,IF((I15+J15)=3,Ressources!$F$12+('Saisie immeuble'!I15-1)*Ressources!$F$13,0))))))</f>
        <v>0</v>
      </c>
      <c r="U15" s="232">
        <f>IF(ISERROR('Cheque Energie'!G28),0,'Cheque Energie'!G28)</f>
        <v>0</v>
      </c>
      <c r="V15" s="233"/>
    </row>
    <row r="16" spans="1:22" ht="30" customHeight="1" x14ac:dyDescent="0.3">
      <c r="A16" s="167" t="s">
        <v>6</v>
      </c>
      <c r="B16" s="234"/>
      <c r="C16" s="234"/>
      <c r="D16" s="128"/>
      <c r="E16" s="128"/>
      <c r="F16" s="128"/>
      <c r="G16" s="128"/>
      <c r="H16" s="128"/>
      <c r="I16" s="234"/>
      <c r="J16" s="234"/>
      <c r="K16" s="233"/>
      <c r="L16" s="233"/>
      <c r="M16" s="233"/>
      <c r="N16" s="233"/>
      <c r="O16" s="233"/>
      <c r="P16" s="233"/>
      <c r="Q16" s="130"/>
      <c r="R16" s="130"/>
      <c r="S16" s="232">
        <f>IF(OR(Q16="RSA parent isolé",R16="RSA parent isolé"),IF(I16+J16=1,Ressources!$F$8,IF(I16+J16=2,Ressources!$G$8,IF(I16+J16=3,Ressources!$H$8,IF(I16+J16&gt;3,Ressources!$H$8+(I16+J16-3)*Ressources!$I$8,0)))),IF(AND(Q16="ASPA",R16="ASPA"),Ressources!$F$17,IF(AND('Saisie immeuble'!R16="RSA socle",'Saisie immeuble'!Q16="RSA socle"),IF(('Saisie immeuble'!I16+'Saisie immeuble'!J16)&gt;5,Ressources!$I$4+Ressources!$J$4*(('Saisie immeuble'!I16+'Saisie immeuble'!J16)-5),IF(('Saisie immeuble'!I16+'Saisie immeuble'!J16)=2,Ressources!$F$4,IF(('Saisie immeuble'!I16+'Saisie immeuble'!J16)=3,Ressources!$G$4,IF(('Saisie immeuble'!I16+'Saisie immeuble'!J16)=4,Ressources!$H$4,IF(('Saisie immeuble'!I16+'Saisie immeuble'!J16)=5,Ressources!$I$4,0))))), IF(OR(AND('Saisie immeuble'!R16="RSA socle",'Saisie immeuble'!Q16&lt;&gt;"RSA socle"),AND('Saisie immeuble'!Q16="RSA socle",'Saisie immeuble'!R16&lt;&gt;"RSA socle")),IF(('Saisie immeuble'!I16+'Saisie immeuble'!J16)&gt;4,Ressources!$I$3+Ressources!$J$3*(('Saisie immeuble'!I16+'Saisie immeuble'!J16)-4),IF(('Saisie immeuble'!I16+'Saisie immeuble'!J16)=1,Ressources!$F$3,IF(('Saisie immeuble'!I16+'Saisie immeuble'!J16)=2,Ressources!$G$3,IF(('Saisie immeuble'!I16+'Saisie immeuble'!J16)=3,Ressources!$H$3,IF(('Saisie immeuble'!I16+'Saisie immeuble'!J16)=4,Ressources!$I$3,0))))))+IF(Q16=Ressources!$A$3,Ressources!$B$3,IF(Q16=Ressources!$A$5,Ressources!$B$5,IF(Q16=Ressources!$A$6,Ressources!$B$6,IF(Q16=Ressources!$A$7,Ressources!$B$7,IF(Q16=Ressources!$A$8,Ressources!$B$8,IF(Q16=Ressources!$A$9,Ressources!$B$9,IF(Q16=Ressources!$A$10,Ressources!$B$10,IF(Q16=Ressources!$A$11,Ressources!$B$11,0))))))))+IF(R16=Ressources!$A$3,Ressources!$B$3,IF(R16=Ressources!$A$5,Ressources!$B$5,IF(R16=Ressources!$A$6,Ressources!$B$6,IF(R16=Ressources!$A$7,Ressources!$B$7,IF(R16=Ressources!$A$8,Ressources!$B$8,IF(R16=Ressources!$A$9,Ressources!$B$9,IF(R16=Ressources!$A$10,Ressources!$B$10,IF(R16=Ressources!$A$11,Ressources!$B$11,0)))))))))))</f>
        <v>0</v>
      </c>
      <c r="T16" s="232">
        <f>IF(AND(Q16&lt;&gt;0,R16&lt;&gt;0),IF((I16+J16)&gt;6,Ressources!$H$12+(I16+J16-6)*Ressources!$I$12+('Saisie immeuble'!I16-2)*Ressources!$I$13,IF((I16+J16)=6,Ressources!$H$12+('Saisie immeuble'!I16-2)*Ressources!$H$13,IF((I16+J16)=5,Ressources!$G$12+('Saisie immeuble'!I16-2)*Ressources!$G$13,IF((I16+J16)=4,Ressources!$F$12+('Saisie immeuble'!I16-2)*Ressources!$F$13,0)))),IF(OR(Q16=0,R16=0),IF((I16+J16)&gt;5,Ressources!$H$12+(I16+J16-5)*Ressources!$I$12+('Saisie immeuble'!I16-1)*Ressources!$I$13,IF((I16+J16)=5,Ressources!$H$12+('Saisie immeuble'!I16-1)*Ressources!$H$13,IF((I16+J16)=4,Ressources!$G$12+('Saisie immeuble'!I16-1)*Ressources!$G$13,IF((I16+J16)=3,Ressources!$F$12+('Saisie immeuble'!I16-1)*Ressources!$F$13,0))))))</f>
        <v>0</v>
      </c>
      <c r="U16" s="232">
        <f>IF(ISERROR('Cheque Energie'!G29),0,'Cheque Energie'!G29)</f>
        <v>0</v>
      </c>
      <c r="V16" s="233"/>
    </row>
    <row r="17" spans="1:22" ht="30" customHeight="1" x14ac:dyDescent="0.3">
      <c r="A17" s="167" t="s">
        <v>7</v>
      </c>
      <c r="B17" s="234"/>
      <c r="C17" s="234"/>
      <c r="D17" s="128"/>
      <c r="E17" s="128"/>
      <c r="F17" s="128"/>
      <c r="G17" s="128"/>
      <c r="H17" s="128"/>
      <c r="I17" s="234"/>
      <c r="J17" s="234"/>
      <c r="K17" s="233"/>
      <c r="L17" s="233"/>
      <c r="M17" s="233"/>
      <c r="N17" s="233"/>
      <c r="O17" s="233"/>
      <c r="P17" s="233"/>
      <c r="Q17" s="130"/>
      <c r="R17" s="130"/>
      <c r="S17" s="232">
        <f>IF(OR(Q17="RSA parent isolé",R17="RSA parent isolé"),IF(I17+J17=1,Ressources!$F$8,IF(I17+J17=2,Ressources!$G$8,IF(I17+J17=3,Ressources!$H$8,IF(I17+J17&gt;3,Ressources!$H$8+(I17+J17-3)*Ressources!$I$8,0)))),IF(AND(Q17="ASPA",R17="ASPA"),Ressources!$F$17,IF(AND('Saisie immeuble'!R17="RSA socle",'Saisie immeuble'!Q17="RSA socle"),IF(('Saisie immeuble'!I17+'Saisie immeuble'!J17)&gt;5,Ressources!$I$4+Ressources!$J$4*(('Saisie immeuble'!I17+'Saisie immeuble'!J17)-5),IF(('Saisie immeuble'!I17+'Saisie immeuble'!J17)=2,Ressources!$F$4,IF(('Saisie immeuble'!I17+'Saisie immeuble'!J17)=3,Ressources!$G$4,IF(('Saisie immeuble'!I17+'Saisie immeuble'!J17)=4,Ressources!$H$4,IF(('Saisie immeuble'!I17+'Saisie immeuble'!J17)=5,Ressources!$I$4,0))))), IF(OR(AND('Saisie immeuble'!R17="RSA socle",'Saisie immeuble'!Q17&lt;&gt;"RSA socle"),AND('Saisie immeuble'!Q17="RSA socle",'Saisie immeuble'!R17&lt;&gt;"RSA socle")),IF(('Saisie immeuble'!I17+'Saisie immeuble'!J17)&gt;4,Ressources!$I$3+Ressources!$J$3*(('Saisie immeuble'!I17+'Saisie immeuble'!J17)-4),IF(('Saisie immeuble'!I17+'Saisie immeuble'!J17)=1,Ressources!$F$3,IF(('Saisie immeuble'!I17+'Saisie immeuble'!J17)=2,Ressources!$G$3,IF(('Saisie immeuble'!I17+'Saisie immeuble'!J17)=3,Ressources!$H$3,IF(('Saisie immeuble'!I17+'Saisie immeuble'!J17)=4,Ressources!$I$3,0))))))+IF(Q17=Ressources!$A$3,Ressources!$B$3,IF(Q17=Ressources!$A$5,Ressources!$B$5,IF(Q17=Ressources!$A$6,Ressources!$B$6,IF(Q17=Ressources!$A$7,Ressources!$B$7,IF(Q17=Ressources!$A$8,Ressources!$B$8,IF(Q17=Ressources!$A$9,Ressources!$B$9,IF(Q17=Ressources!$A$10,Ressources!$B$10,IF(Q17=Ressources!$A$11,Ressources!$B$11,0))))))))+IF(R17=Ressources!$A$3,Ressources!$B$3,IF(R17=Ressources!$A$5,Ressources!$B$5,IF(R17=Ressources!$A$6,Ressources!$B$6,IF(R17=Ressources!$A$7,Ressources!$B$7,IF(R17=Ressources!$A$8,Ressources!$B$8,IF(R17=Ressources!$A$9,Ressources!$B$9,IF(R17=Ressources!$A$10,Ressources!$B$10,IF(R17=Ressources!$A$11,Ressources!$B$11,0)))))))))))</f>
        <v>0</v>
      </c>
      <c r="T17" s="232">
        <f>IF(AND(Q17&lt;&gt;0,R17&lt;&gt;0),IF((I17+J17)&gt;6,Ressources!$H$12+(I17+J17-6)*Ressources!$I$12+('Saisie immeuble'!I17-2)*Ressources!$I$13,IF((I17+J17)=6,Ressources!$H$12+('Saisie immeuble'!I17-2)*Ressources!$H$13,IF((I17+J17)=5,Ressources!$G$12+('Saisie immeuble'!I17-2)*Ressources!$G$13,IF((I17+J17)=4,Ressources!$F$12+('Saisie immeuble'!I17-2)*Ressources!$F$13,0)))),IF(OR(Q17=0,R17=0),IF((I17+J17)&gt;5,Ressources!$H$12+(I17+J17-5)*Ressources!$I$12+('Saisie immeuble'!I17-1)*Ressources!$I$13,IF((I17+J17)=5,Ressources!$H$12+('Saisie immeuble'!I17-1)*Ressources!$H$13,IF((I17+J17)=4,Ressources!$G$12+('Saisie immeuble'!I17-1)*Ressources!$G$13,IF((I17+J17)=3,Ressources!$F$12+('Saisie immeuble'!I17-1)*Ressources!$F$13,0))))))</f>
        <v>0</v>
      </c>
      <c r="U17" s="232">
        <f>IF(ISERROR('Cheque Energie'!G30),0,'Cheque Energie'!G30)</f>
        <v>0</v>
      </c>
      <c r="V17" s="233"/>
    </row>
    <row r="18" spans="1:22" ht="30" customHeight="1" x14ac:dyDescent="0.3">
      <c r="A18" s="167" t="s">
        <v>8</v>
      </c>
      <c r="B18" s="234"/>
      <c r="C18" s="234"/>
      <c r="D18" s="128"/>
      <c r="E18" s="128"/>
      <c r="F18" s="128"/>
      <c r="G18" s="128"/>
      <c r="H18" s="128"/>
      <c r="I18" s="234"/>
      <c r="J18" s="234"/>
      <c r="K18" s="233"/>
      <c r="L18" s="233"/>
      <c r="M18" s="233"/>
      <c r="N18" s="233"/>
      <c r="O18" s="233"/>
      <c r="P18" s="233"/>
      <c r="Q18" s="130"/>
      <c r="R18" s="130"/>
      <c r="S18" s="232">
        <f>IF(OR(Q18="RSA parent isolé",R18="RSA parent isolé"),IF(I18+J18=1,Ressources!$F$8,IF(I18+J18=2,Ressources!$G$8,IF(I18+J18=3,Ressources!$H$8,IF(I18+J18&gt;3,Ressources!$H$8+(I18+J18-3)*Ressources!$I$8,0)))),IF(AND(Q18="ASPA",R18="ASPA"),Ressources!$F$17,IF(AND('Saisie immeuble'!R18="RSA socle",'Saisie immeuble'!Q18="RSA socle"),IF(('Saisie immeuble'!I18+'Saisie immeuble'!J18)&gt;5,Ressources!$I$4+Ressources!$J$4*(('Saisie immeuble'!I18+'Saisie immeuble'!J18)-5),IF(('Saisie immeuble'!I18+'Saisie immeuble'!J18)=2,Ressources!$F$4,IF(('Saisie immeuble'!I18+'Saisie immeuble'!J18)=3,Ressources!$G$4,IF(('Saisie immeuble'!I18+'Saisie immeuble'!J18)=4,Ressources!$H$4,IF(('Saisie immeuble'!I18+'Saisie immeuble'!J18)=5,Ressources!$I$4,0))))), IF(OR(AND('Saisie immeuble'!R18="RSA socle",'Saisie immeuble'!Q18&lt;&gt;"RSA socle"),AND('Saisie immeuble'!Q18="RSA socle",'Saisie immeuble'!R18&lt;&gt;"RSA socle")),IF(('Saisie immeuble'!I18+'Saisie immeuble'!J18)&gt;4,Ressources!$I$3+Ressources!$J$3*(('Saisie immeuble'!I18+'Saisie immeuble'!J18)-4),IF(('Saisie immeuble'!I18+'Saisie immeuble'!J18)=1,Ressources!$F$3,IF(('Saisie immeuble'!I18+'Saisie immeuble'!J18)=2,Ressources!$G$3,IF(('Saisie immeuble'!I18+'Saisie immeuble'!J18)=3,Ressources!$H$3,IF(('Saisie immeuble'!I18+'Saisie immeuble'!J18)=4,Ressources!$I$3,0))))))+IF(Q18=Ressources!$A$3,Ressources!$B$3,IF(Q18=Ressources!$A$5,Ressources!$B$5,IF(Q18=Ressources!$A$6,Ressources!$B$6,IF(Q18=Ressources!$A$7,Ressources!$B$7,IF(Q18=Ressources!$A$8,Ressources!$B$8,IF(Q18=Ressources!$A$9,Ressources!$B$9,IF(Q18=Ressources!$A$10,Ressources!$B$10,IF(Q18=Ressources!$A$11,Ressources!$B$11,0))))))))+IF(R18=Ressources!$A$3,Ressources!$B$3,IF(R18=Ressources!$A$5,Ressources!$B$5,IF(R18=Ressources!$A$6,Ressources!$B$6,IF(R18=Ressources!$A$7,Ressources!$B$7,IF(R18=Ressources!$A$8,Ressources!$B$8,IF(R18=Ressources!$A$9,Ressources!$B$9,IF(R18=Ressources!$A$10,Ressources!$B$10,IF(R18=Ressources!$A$11,Ressources!$B$11,0)))))))))))</f>
        <v>0</v>
      </c>
      <c r="T18" s="232">
        <f>IF(AND(Q18&lt;&gt;0,R18&lt;&gt;0),IF((I18+J18)&gt;6,Ressources!$H$12+(I18+J18-6)*Ressources!$I$12+('Saisie immeuble'!I18-2)*Ressources!$I$13,IF((I18+J18)=6,Ressources!$H$12+('Saisie immeuble'!I18-2)*Ressources!$H$13,IF((I18+J18)=5,Ressources!$G$12+('Saisie immeuble'!I18-2)*Ressources!$G$13,IF((I18+J18)=4,Ressources!$F$12+('Saisie immeuble'!I18-2)*Ressources!$F$13,0)))),IF(OR(Q18=0,R18=0),IF((I18+J18)&gt;5,Ressources!$H$12+(I18+J18-5)*Ressources!$I$12+('Saisie immeuble'!I18-1)*Ressources!$I$13,IF((I18+J18)=5,Ressources!$H$12+('Saisie immeuble'!I18-1)*Ressources!$H$13,IF((I18+J18)=4,Ressources!$G$12+('Saisie immeuble'!I18-1)*Ressources!$G$13,IF((I18+J18)=3,Ressources!$F$12+('Saisie immeuble'!I18-1)*Ressources!$F$13,0))))))</f>
        <v>0</v>
      </c>
      <c r="U18" s="232">
        <f>IF(ISERROR('Cheque Energie'!G31),0,'Cheque Energie'!G31)</f>
        <v>0</v>
      </c>
      <c r="V18" s="233"/>
    </row>
    <row r="19" spans="1:22" ht="30" customHeight="1" x14ac:dyDescent="0.3">
      <c r="A19" s="167" t="s">
        <v>9</v>
      </c>
      <c r="B19" s="234"/>
      <c r="C19" s="234"/>
      <c r="D19" s="128"/>
      <c r="E19" s="128"/>
      <c r="F19" s="128"/>
      <c r="G19" s="128"/>
      <c r="H19" s="128"/>
      <c r="I19" s="234"/>
      <c r="J19" s="234"/>
      <c r="K19" s="233"/>
      <c r="L19" s="233"/>
      <c r="M19" s="233"/>
      <c r="N19" s="233"/>
      <c r="O19" s="233"/>
      <c r="P19" s="233"/>
      <c r="Q19" s="130"/>
      <c r="R19" s="130"/>
      <c r="S19" s="232">
        <f>IF(OR(Q19="RSA parent isolé",R19="RSA parent isolé"),IF(I19+J19=1,Ressources!$F$8,IF(I19+J19=2,Ressources!$G$8,IF(I19+J19=3,Ressources!$H$8,IF(I19+J19&gt;3,Ressources!$H$8+(I19+J19-3)*Ressources!$I$8,0)))),IF(AND(Q19="ASPA",R19="ASPA"),Ressources!$F$17,IF(AND('Saisie immeuble'!R19="RSA socle",'Saisie immeuble'!Q19="RSA socle"),IF(('Saisie immeuble'!I19+'Saisie immeuble'!J19)&gt;5,Ressources!$I$4+Ressources!$J$4*(('Saisie immeuble'!I19+'Saisie immeuble'!J19)-5),IF(('Saisie immeuble'!I19+'Saisie immeuble'!J19)=2,Ressources!$F$4,IF(('Saisie immeuble'!I19+'Saisie immeuble'!J19)=3,Ressources!$G$4,IF(('Saisie immeuble'!I19+'Saisie immeuble'!J19)=4,Ressources!$H$4,IF(('Saisie immeuble'!I19+'Saisie immeuble'!J19)=5,Ressources!$I$4,0))))), IF(OR(AND('Saisie immeuble'!R19="RSA socle",'Saisie immeuble'!Q19&lt;&gt;"RSA socle"),AND('Saisie immeuble'!Q19="RSA socle",'Saisie immeuble'!R19&lt;&gt;"RSA socle")),IF(('Saisie immeuble'!I19+'Saisie immeuble'!J19)&gt;4,Ressources!$I$3+Ressources!$J$3*(('Saisie immeuble'!I19+'Saisie immeuble'!J19)-4),IF(('Saisie immeuble'!I19+'Saisie immeuble'!J19)=1,Ressources!$F$3,IF(('Saisie immeuble'!I19+'Saisie immeuble'!J19)=2,Ressources!$G$3,IF(('Saisie immeuble'!I19+'Saisie immeuble'!J19)=3,Ressources!$H$3,IF(('Saisie immeuble'!I19+'Saisie immeuble'!J19)=4,Ressources!$I$3,0))))))+IF(Q19=Ressources!$A$3,Ressources!$B$3,IF(Q19=Ressources!$A$5,Ressources!$B$5,IF(Q19=Ressources!$A$6,Ressources!$B$6,IF(Q19=Ressources!$A$7,Ressources!$B$7,IF(Q19=Ressources!$A$8,Ressources!$B$8,IF(Q19=Ressources!$A$9,Ressources!$B$9,IF(Q19=Ressources!$A$10,Ressources!$B$10,IF(Q19=Ressources!$A$11,Ressources!$B$11,0))))))))+IF(R19=Ressources!$A$3,Ressources!$B$3,IF(R19=Ressources!$A$5,Ressources!$B$5,IF(R19=Ressources!$A$6,Ressources!$B$6,IF(R19=Ressources!$A$7,Ressources!$B$7,IF(R19=Ressources!$A$8,Ressources!$B$8,IF(R19=Ressources!$A$9,Ressources!$B$9,IF(R19=Ressources!$A$10,Ressources!$B$10,IF(R19=Ressources!$A$11,Ressources!$B$11,0)))))))))))</f>
        <v>0</v>
      </c>
      <c r="T19" s="232">
        <f>IF(AND(Q19&lt;&gt;0,R19&lt;&gt;0),IF((I19+J19)&gt;6,Ressources!$H$12+(I19+J19-6)*Ressources!$I$12+('Saisie immeuble'!I19-2)*Ressources!$I$13,IF((I19+J19)=6,Ressources!$H$12+('Saisie immeuble'!I19-2)*Ressources!$H$13,IF((I19+J19)=5,Ressources!$G$12+('Saisie immeuble'!I19-2)*Ressources!$G$13,IF((I19+J19)=4,Ressources!$F$12+('Saisie immeuble'!I19-2)*Ressources!$F$13,0)))),IF(OR(Q19=0,R19=0),IF((I19+J19)&gt;5,Ressources!$H$12+(I19+J19-5)*Ressources!$I$12+('Saisie immeuble'!I19-1)*Ressources!$I$13,IF((I19+J19)=5,Ressources!$H$12+('Saisie immeuble'!I19-1)*Ressources!$H$13,IF((I19+J19)=4,Ressources!$G$12+('Saisie immeuble'!I19-1)*Ressources!$G$13,IF((I19+J19)=3,Ressources!$F$12+('Saisie immeuble'!I19-1)*Ressources!$F$13,0))))))</f>
        <v>0</v>
      </c>
      <c r="U19" s="232">
        <f>IF(ISERROR('Cheque Energie'!G32),0,'Cheque Energie'!G32)</f>
        <v>0</v>
      </c>
      <c r="V19" s="233"/>
    </row>
    <row r="20" spans="1:22" ht="30" customHeight="1" x14ac:dyDescent="0.3">
      <c r="A20" s="167" t="s">
        <v>10</v>
      </c>
      <c r="B20" s="234"/>
      <c r="C20" s="234"/>
      <c r="D20" s="128"/>
      <c r="E20" s="128"/>
      <c r="F20" s="128"/>
      <c r="G20" s="128"/>
      <c r="H20" s="128"/>
      <c r="I20" s="234"/>
      <c r="J20" s="234"/>
      <c r="K20" s="233"/>
      <c r="L20" s="233"/>
      <c r="M20" s="233"/>
      <c r="N20" s="233"/>
      <c r="O20" s="233"/>
      <c r="P20" s="233"/>
      <c r="Q20" s="130"/>
      <c r="R20" s="130"/>
      <c r="S20" s="232">
        <f>IF(OR(Q20="RSA parent isolé",R20="RSA parent isolé"),IF(I20+J20=1,Ressources!$F$8,IF(I20+J20=2,Ressources!$G$8,IF(I20+J20=3,Ressources!$H$8,IF(I20+J20&gt;3,Ressources!$H$8+(I20+J20-3)*Ressources!$I$8,0)))),IF(AND(Q20="ASPA",R20="ASPA"),Ressources!$F$17,IF(AND('Saisie immeuble'!R20="RSA socle",'Saisie immeuble'!Q20="RSA socle"),IF(('Saisie immeuble'!I20+'Saisie immeuble'!J20)&gt;5,Ressources!$I$4+Ressources!$J$4*(('Saisie immeuble'!I20+'Saisie immeuble'!J20)-5),IF(('Saisie immeuble'!I20+'Saisie immeuble'!J20)=2,Ressources!$F$4,IF(('Saisie immeuble'!I20+'Saisie immeuble'!J20)=3,Ressources!$G$4,IF(('Saisie immeuble'!I20+'Saisie immeuble'!J20)=4,Ressources!$H$4,IF(('Saisie immeuble'!I20+'Saisie immeuble'!J20)=5,Ressources!$I$4,0))))), IF(OR(AND('Saisie immeuble'!R20="RSA socle",'Saisie immeuble'!Q20&lt;&gt;"RSA socle"),AND('Saisie immeuble'!Q20="RSA socle",'Saisie immeuble'!R20&lt;&gt;"RSA socle")),IF(('Saisie immeuble'!I20+'Saisie immeuble'!J20)&gt;4,Ressources!$I$3+Ressources!$J$3*(('Saisie immeuble'!I20+'Saisie immeuble'!J20)-4),IF(('Saisie immeuble'!I20+'Saisie immeuble'!J20)=1,Ressources!$F$3,IF(('Saisie immeuble'!I20+'Saisie immeuble'!J20)=2,Ressources!$G$3,IF(('Saisie immeuble'!I20+'Saisie immeuble'!J20)=3,Ressources!$H$3,IF(('Saisie immeuble'!I20+'Saisie immeuble'!J20)=4,Ressources!$I$3,0))))))+IF(Q20=Ressources!$A$3,Ressources!$B$3,IF(Q20=Ressources!$A$5,Ressources!$B$5,IF(Q20=Ressources!$A$6,Ressources!$B$6,IF(Q20=Ressources!$A$7,Ressources!$B$7,IF(Q20=Ressources!$A$8,Ressources!$B$8,IF(Q20=Ressources!$A$9,Ressources!$B$9,IF(Q20=Ressources!$A$10,Ressources!$B$10,IF(Q20=Ressources!$A$11,Ressources!$B$11,0))))))))+IF(R20=Ressources!$A$3,Ressources!$B$3,IF(R20=Ressources!$A$5,Ressources!$B$5,IF(R20=Ressources!$A$6,Ressources!$B$6,IF(R20=Ressources!$A$7,Ressources!$B$7,IF(R20=Ressources!$A$8,Ressources!$B$8,IF(R20=Ressources!$A$9,Ressources!$B$9,IF(R20=Ressources!$A$10,Ressources!$B$10,IF(R20=Ressources!$A$11,Ressources!$B$11,0)))))))))))</f>
        <v>0</v>
      </c>
      <c r="T20" s="232">
        <f>IF(AND(Q20&lt;&gt;0,R20&lt;&gt;0),IF((I20+J20)&gt;6,Ressources!$H$12+(I20+J20-6)*Ressources!$I$12+('Saisie immeuble'!I20-2)*Ressources!$I$13,IF((I20+J20)=6,Ressources!$H$12+('Saisie immeuble'!I20-2)*Ressources!$H$13,IF((I20+J20)=5,Ressources!$G$12+('Saisie immeuble'!I20-2)*Ressources!$G$13,IF((I20+J20)=4,Ressources!$F$12+('Saisie immeuble'!I20-2)*Ressources!$F$13,0)))),IF(OR(Q20=0,R20=0),IF((I20+J20)&gt;5,Ressources!$H$12+(I20+J20-5)*Ressources!$I$12+('Saisie immeuble'!I20-1)*Ressources!$I$13,IF((I20+J20)=5,Ressources!$H$12+('Saisie immeuble'!I20-1)*Ressources!$H$13,IF((I20+J20)=4,Ressources!$G$12+('Saisie immeuble'!I20-1)*Ressources!$G$13,IF((I20+J20)=3,Ressources!$F$12+('Saisie immeuble'!I20-1)*Ressources!$F$13,0))))))</f>
        <v>0</v>
      </c>
      <c r="U20" s="232">
        <f>IF(ISERROR('Cheque Energie'!G33),0,'Cheque Energie'!G33)</f>
        <v>0</v>
      </c>
      <c r="V20" s="233"/>
    </row>
    <row r="21" spans="1:22" ht="15" customHeight="1" x14ac:dyDescent="0.3">
      <c r="A21" s="190"/>
      <c r="B21" s="191" t="s">
        <v>311</v>
      </c>
      <c r="P21" s="192"/>
      <c r="Q21" s="192"/>
      <c r="R21" s="192"/>
      <c r="S21" s="192"/>
      <c r="T21" s="192"/>
      <c r="U21" s="192"/>
      <c r="V21" s="192"/>
    </row>
    <row r="22" spans="1:22" x14ac:dyDescent="0.3">
      <c r="N22" s="193"/>
      <c r="P22" s="108"/>
      <c r="Q22" s="178"/>
      <c r="R22" s="178"/>
      <c r="S22" s="178"/>
      <c r="T22" s="178"/>
      <c r="U22" s="194"/>
      <c r="V22" s="194"/>
    </row>
    <row r="23" spans="1:22" x14ac:dyDescent="0.3">
      <c r="A23" s="195"/>
      <c r="B23" s="194"/>
      <c r="C23" s="194"/>
      <c r="D23" s="194"/>
      <c r="E23" s="194"/>
      <c r="F23" s="194"/>
      <c r="G23" s="194"/>
      <c r="H23" s="194"/>
      <c r="I23" s="194"/>
      <c r="J23" s="194"/>
      <c r="K23" s="194"/>
      <c r="L23" s="194"/>
      <c r="M23" s="194"/>
      <c r="N23" s="194"/>
      <c r="O23" s="194"/>
      <c r="P23" s="194"/>
      <c r="Q23" s="178"/>
      <c r="R23" s="178"/>
      <c r="S23" s="178"/>
      <c r="T23" s="178"/>
      <c r="U23" s="194"/>
      <c r="V23" s="194"/>
    </row>
    <row r="24" spans="1:22" x14ac:dyDescent="0.3">
      <c r="A24" s="195"/>
      <c r="B24" s="194"/>
      <c r="C24" s="194"/>
      <c r="D24" s="194"/>
      <c r="E24" s="194"/>
      <c r="F24" s="194"/>
      <c r="G24" s="194"/>
      <c r="H24" s="194"/>
      <c r="I24" s="194"/>
      <c r="J24" s="194"/>
      <c r="K24" s="194"/>
      <c r="L24" s="194"/>
      <c r="M24" s="194"/>
      <c r="N24" s="194"/>
      <c r="O24" s="194"/>
      <c r="P24" s="194"/>
      <c r="Q24" s="178"/>
      <c r="R24" s="178"/>
      <c r="S24" s="178"/>
      <c r="T24" s="178"/>
      <c r="U24" s="194"/>
      <c r="V24" s="194"/>
    </row>
    <row r="25" spans="1:22" x14ac:dyDescent="0.3">
      <c r="A25" s="195"/>
      <c r="B25" s="194"/>
      <c r="C25" s="194"/>
      <c r="D25" s="194"/>
      <c r="E25" s="194"/>
      <c r="F25" s="194"/>
      <c r="G25" s="194"/>
      <c r="H25" s="194"/>
      <c r="I25" s="194"/>
      <c r="J25" s="194"/>
      <c r="K25" s="194"/>
      <c r="L25" s="194"/>
      <c r="M25" s="194"/>
      <c r="N25" s="194"/>
      <c r="O25" s="194"/>
      <c r="P25" s="194"/>
      <c r="Q25" s="178"/>
      <c r="R25" s="178"/>
      <c r="S25" s="178"/>
      <c r="T25" s="178"/>
      <c r="U25" s="194"/>
      <c r="V25" s="194"/>
    </row>
    <row r="26" spans="1:22" x14ac:dyDescent="0.3">
      <c r="A26" s="195"/>
      <c r="B26" s="194"/>
      <c r="C26" s="194"/>
      <c r="D26" s="194"/>
      <c r="E26" s="194"/>
      <c r="F26" s="194"/>
      <c r="G26" s="194"/>
      <c r="H26" s="194"/>
      <c r="I26" s="194"/>
      <c r="J26" s="194"/>
      <c r="K26" s="194"/>
      <c r="L26" s="194"/>
      <c r="M26" s="194"/>
      <c r="N26" s="194"/>
      <c r="O26" s="194"/>
      <c r="P26" s="194"/>
      <c r="Q26" s="178"/>
      <c r="R26" s="178"/>
      <c r="S26" s="178"/>
      <c r="T26" s="178"/>
      <c r="U26" s="194"/>
      <c r="V26" s="194"/>
    </row>
    <row r="27" spans="1:22" x14ac:dyDescent="0.3">
      <c r="A27" s="195"/>
      <c r="B27" s="194"/>
      <c r="C27" s="194"/>
      <c r="D27" s="194"/>
      <c r="E27" s="194"/>
      <c r="F27" s="194"/>
      <c r="G27" s="194"/>
      <c r="H27" s="194"/>
      <c r="I27" s="194"/>
      <c r="J27" s="194"/>
      <c r="K27" s="194"/>
      <c r="L27" s="194"/>
      <c r="M27" s="194"/>
      <c r="N27" s="194"/>
      <c r="O27" s="194"/>
      <c r="P27" s="194"/>
      <c r="Q27" s="178"/>
      <c r="R27" s="178"/>
      <c r="S27" s="178"/>
      <c r="T27" s="178"/>
      <c r="U27" s="194"/>
      <c r="V27" s="194"/>
    </row>
    <row r="28" spans="1:22" x14ac:dyDescent="0.3">
      <c r="A28" s="195"/>
      <c r="B28" s="194"/>
      <c r="C28" s="194"/>
      <c r="D28" s="194"/>
      <c r="E28" s="194"/>
      <c r="F28" s="194"/>
      <c r="G28" s="194"/>
      <c r="H28" s="194"/>
      <c r="I28" s="194"/>
      <c r="J28" s="194"/>
      <c r="K28" s="194"/>
      <c r="L28" s="194"/>
      <c r="M28" s="194"/>
      <c r="N28" s="194"/>
      <c r="O28" s="194"/>
      <c r="P28" s="194"/>
      <c r="Q28" s="178"/>
      <c r="R28" s="178"/>
      <c r="S28" s="178"/>
      <c r="T28" s="178"/>
      <c r="U28" s="194"/>
      <c r="V28" s="194"/>
    </row>
    <row r="29" spans="1:22" ht="30" customHeight="1" x14ac:dyDescent="0.3">
      <c r="A29" s="195"/>
      <c r="B29" s="194"/>
      <c r="C29" s="194"/>
      <c r="D29" s="194"/>
      <c r="E29" s="194"/>
      <c r="F29" s="194"/>
      <c r="G29" s="194"/>
      <c r="H29" s="194"/>
      <c r="I29" s="194"/>
      <c r="J29" s="194"/>
      <c r="K29" s="194"/>
      <c r="L29" s="194"/>
      <c r="M29" s="194"/>
      <c r="N29" s="194"/>
      <c r="O29" s="194"/>
      <c r="P29" s="194"/>
      <c r="Q29" s="178"/>
      <c r="R29" s="178"/>
      <c r="S29" s="178"/>
      <c r="T29" s="178"/>
      <c r="U29" s="194"/>
      <c r="V29" s="194"/>
    </row>
    <row r="30" spans="1:22" ht="30" customHeight="1" x14ac:dyDescent="0.3">
      <c r="A30" s="195"/>
      <c r="B30" s="194"/>
      <c r="C30" s="194"/>
      <c r="D30" s="194"/>
      <c r="E30" s="194"/>
      <c r="F30" s="194"/>
      <c r="G30" s="194"/>
      <c r="H30" s="194"/>
      <c r="I30" s="194"/>
      <c r="J30" s="194"/>
      <c r="K30" s="194"/>
      <c r="L30" s="194"/>
      <c r="M30" s="194"/>
      <c r="N30" s="194"/>
      <c r="O30" s="194"/>
      <c r="P30" s="194"/>
      <c r="Q30" s="194"/>
      <c r="R30" s="194"/>
      <c r="S30" s="194"/>
      <c r="T30" s="194"/>
      <c r="U30" s="194"/>
      <c r="V30" s="194"/>
    </row>
    <row r="31" spans="1:22" ht="30" customHeight="1" x14ac:dyDescent="0.3">
      <c r="A31" s="195"/>
      <c r="B31" s="194"/>
      <c r="C31" s="194"/>
      <c r="D31" s="194"/>
      <c r="E31" s="194"/>
      <c r="F31" s="194"/>
      <c r="G31" s="194"/>
      <c r="H31" s="194"/>
      <c r="I31" s="194"/>
      <c r="J31" s="194"/>
      <c r="K31" s="194"/>
      <c r="L31" s="194"/>
      <c r="M31" s="194"/>
      <c r="N31" s="194"/>
      <c r="O31" s="194"/>
      <c r="P31" s="194"/>
      <c r="Q31" s="194"/>
      <c r="R31" s="194"/>
      <c r="S31" s="194"/>
      <c r="T31" s="194"/>
      <c r="U31" s="194"/>
      <c r="V31" s="194"/>
    </row>
    <row r="32" spans="1:22" ht="30" customHeight="1" x14ac:dyDescent="0.3">
      <c r="A32" s="195"/>
      <c r="B32" s="194"/>
      <c r="C32" s="194"/>
      <c r="D32" s="194"/>
      <c r="E32" s="194"/>
      <c r="F32" s="194"/>
      <c r="G32" s="194"/>
      <c r="H32" s="194"/>
      <c r="I32" s="194"/>
      <c r="J32" s="194"/>
      <c r="K32" s="194"/>
      <c r="L32" s="194"/>
      <c r="M32" s="194"/>
      <c r="N32" s="194"/>
      <c r="O32" s="194"/>
      <c r="P32" s="194"/>
      <c r="Q32" s="194"/>
      <c r="R32" s="194"/>
      <c r="S32" s="194"/>
      <c r="T32" s="194"/>
      <c r="U32" s="194"/>
      <c r="V32" s="194"/>
    </row>
    <row r="33" spans="1:22" ht="30" customHeight="1" x14ac:dyDescent="0.3">
      <c r="A33" s="195"/>
      <c r="B33" s="194"/>
      <c r="C33" s="194"/>
      <c r="D33" s="194"/>
      <c r="E33" s="194"/>
      <c r="F33" s="194"/>
      <c r="G33" s="194"/>
      <c r="H33" s="194"/>
      <c r="I33" s="194"/>
      <c r="J33" s="194"/>
      <c r="K33" s="194"/>
      <c r="L33" s="194"/>
      <c r="M33" s="194"/>
      <c r="N33" s="194"/>
      <c r="O33" s="194"/>
      <c r="P33" s="194"/>
      <c r="Q33" s="194"/>
      <c r="R33" s="194"/>
      <c r="S33" s="194"/>
      <c r="T33" s="194"/>
      <c r="U33" s="194"/>
      <c r="V33" s="194"/>
    </row>
    <row r="34" spans="1:22" x14ac:dyDescent="0.3">
      <c r="A34" s="195"/>
      <c r="B34" s="194"/>
      <c r="C34" s="194"/>
      <c r="D34" s="194"/>
      <c r="E34" s="194"/>
      <c r="F34" s="194"/>
      <c r="G34" s="194"/>
      <c r="H34" s="194"/>
      <c r="I34" s="194"/>
      <c r="J34" s="194"/>
      <c r="K34" s="194"/>
      <c r="L34" s="194"/>
      <c r="M34" s="194"/>
      <c r="N34" s="194"/>
      <c r="O34" s="194"/>
      <c r="P34" s="194"/>
      <c r="Q34" s="194"/>
      <c r="R34" s="194"/>
      <c r="S34" s="194"/>
      <c r="T34" s="194"/>
      <c r="U34" s="194"/>
      <c r="V34" s="194"/>
    </row>
  </sheetData>
  <sheetProtection password="E66D" sheet="1" objects="1" scenarios="1" pivotTables="0"/>
  <mergeCells count="30">
    <mergeCell ref="C2:G2"/>
    <mergeCell ref="K2:L2"/>
    <mergeCell ref="Q2:R2"/>
    <mergeCell ref="T9:T10"/>
    <mergeCell ref="U9:U10"/>
    <mergeCell ref="Q9:S9"/>
    <mergeCell ref="N2:O2"/>
    <mergeCell ref="V9:V10"/>
    <mergeCell ref="C3:D3"/>
    <mergeCell ref="A9:B10"/>
    <mergeCell ref="A6:B6"/>
    <mergeCell ref="C5:D5"/>
    <mergeCell ref="C4:D4"/>
    <mergeCell ref="Q4:U7"/>
    <mergeCell ref="A1:U1"/>
    <mergeCell ref="L9:P9"/>
    <mergeCell ref="A7:B7"/>
    <mergeCell ref="G9:G10"/>
    <mergeCell ref="H9:H10"/>
    <mergeCell ref="K9:K10"/>
    <mergeCell ref="D9:D10"/>
    <mergeCell ref="C9:C10"/>
    <mergeCell ref="I9:J9"/>
    <mergeCell ref="A8:B8"/>
    <mergeCell ref="F9:F10"/>
    <mergeCell ref="E9:E10"/>
    <mergeCell ref="A5:B5"/>
    <mergeCell ref="A2:B2"/>
    <mergeCell ref="A3:B3"/>
    <mergeCell ref="A4:B4"/>
  </mergeCells>
  <dataValidations count="9">
    <dataValidation type="list" allowBlank="1" showInputMessage="1" showErrorMessage="1" sqref="C3:D3">
      <formula1>VILLE</formula1>
    </dataValidation>
    <dataValidation type="list" allowBlank="1" showInputMessage="1" showErrorMessage="1" sqref="C4:D4">
      <formula1>annee</formula1>
    </dataValidation>
    <dataValidation type="list" allowBlank="1" showInputMessage="1" showErrorMessage="1" sqref="C5:D5">
      <formula1>typedelogement</formula1>
    </dataValidation>
    <dataValidation type="list" allowBlank="1" showInputMessage="1" showErrorMessage="1" sqref="C6:C8 F7">
      <formula1>oui</formula1>
    </dataValidation>
    <dataValidation type="list" allowBlank="1" showInputMessage="1" showErrorMessage="1" sqref="D23:D34 D11:D20">
      <formula1>position</formula1>
    </dataValidation>
    <dataValidation type="list" allowBlank="1" showInputMessage="1" showErrorMessage="1" sqref="E23:E34">
      <formula1>typechauffage</formula1>
    </dataValidation>
    <dataValidation type="list" allowBlank="1" showInputMessage="1" showErrorMessage="1" sqref="F23:F34 F11:F17">
      <formula1>typeecs</formula1>
    </dataValidation>
    <dataValidation type="list" allowBlank="1" showInputMessage="1" showErrorMessage="1" sqref="G23:G34">
      <formula1>ventilation</formula1>
    </dataValidation>
    <dataValidation type="list" allowBlank="1" showInputMessage="1" showErrorMessage="1" sqref="H23:H34 H11:H20">
      <formula1>cuisson2</formula1>
    </dataValidation>
  </dataValidations>
  <pageMargins left="0.25" right="0.25" top="0.75" bottom="0.75" header="0.3" footer="0.3"/>
  <pageSetup paperSize="9" scale="5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Feuil1!$B$78:$B$80</xm:f>
          </x14:formula1>
          <xm:sqref>H7</xm:sqref>
        </x14:dataValidation>
        <x14:dataValidation type="list" allowBlank="1" showInputMessage="1" showErrorMessage="1">
          <x14:formula1>
            <xm:f>Ressources!$A$4:$A$11</xm:f>
          </x14:formula1>
          <xm:sqref>Q11:Q20</xm:sqref>
        </x14:dataValidation>
        <x14:dataValidation type="list" allowBlank="1" showInputMessage="1" showErrorMessage="1">
          <x14:formula1>
            <xm:f>Ressources!$A$3:$A$11</xm:f>
          </x14:formula1>
          <xm:sqref>R11:R20</xm:sqref>
        </x14:dataValidation>
        <x14:dataValidation type="list" allowBlank="1" showInputMessage="1" showErrorMessage="1">
          <x14:formula1>
            <xm:f>Feuil1!$Q$57:$Q$70</xm:f>
          </x14:formula1>
          <xm:sqref>F18:F20</xm:sqref>
        </x14:dataValidation>
        <x14:dataValidation type="list" allowBlank="1" showInputMessage="1" showErrorMessage="1">
          <x14:formula1>
            <xm:f>Feuil1!$G$58:$G$75</xm:f>
          </x14:formula1>
          <xm:sqref>E11:E20</xm:sqref>
        </x14:dataValidation>
        <x14:dataValidation type="list" allowBlank="1" showInputMessage="1" showErrorMessage="1">
          <x14:formula1>
            <xm:f>Feuil1!$B$67:$B$69</xm:f>
          </x14:formula1>
          <xm:sqref>G11:G20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5"/>
    <pageSetUpPr fitToPage="1"/>
  </sheetPr>
  <dimension ref="A1:BD32"/>
  <sheetViews>
    <sheetView showGridLines="0" tabSelected="1" zoomScale="70" zoomScaleNormal="70" workbookViewId="0">
      <selection activeCell="N9" sqref="N9"/>
    </sheetView>
  </sheetViews>
  <sheetFormatPr baseColWidth="10" defaultRowHeight="14.4" x14ac:dyDescent="0.3"/>
  <cols>
    <col min="1" max="1" width="13.44140625" customWidth="1"/>
    <col min="2" max="2" width="12.109375" customWidth="1"/>
    <col min="3" max="3" width="9.6640625" customWidth="1"/>
    <col min="4" max="16" width="10.88671875" customWidth="1"/>
    <col min="17" max="17" width="5.5546875" customWidth="1"/>
    <col min="18" max="19" width="11.109375" customWidth="1"/>
    <col min="20" max="21" width="15.5546875" customWidth="1"/>
    <col min="22" max="22" width="10.109375" customWidth="1"/>
    <col min="23" max="23" width="9.88671875" customWidth="1"/>
  </cols>
  <sheetData>
    <row r="1" spans="1:56" ht="31.5" customHeight="1" x14ac:dyDescent="0.6">
      <c r="A1" s="330" t="s">
        <v>455</v>
      </c>
      <c r="B1" s="331"/>
      <c r="C1" s="331"/>
      <c r="D1" s="331"/>
      <c r="E1" s="331"/>
      <c r="F1" s="331"/>
      <c r="G1" s="331"/>
      <c r="H1" s="331"/>
      <c r="I1" s="331"/>
      <c r="J1" s="331"/>
      <c r="K1" s="331"/>
      <c r="L1" s="331"/>
      <c r="M1" s="331"/>
      <c r="N1" s="331"/>
      <c r="O1" s="331"/>
      <c r="P1" s="331"/>
      <c r="Q1" s="331"/>
      <c r="R1" s="331"/>
      <c r="S1" s="331"/>
      <c r="T1" s="331"/>
      <c r="U1" s="331"/>
    </row>
    <row r="2" spans="1:56" ht="48" customHeight="1" x14ac:dyDescent="0.6">
      <c r="A2" s="336" t="s">
        <v>304</v>
      </c>
      <c r="B2" s="336"/>
      <c r="C2" s="336"/>
      <c r="D2" s="332">
        <f>'Saisie immeuble'!C2</f>
        <v>0</v>
      </c>
      <c r="E2" s="333"/>
      <c r="F2" s="333"/>
      <c r="G2" s="333"/>
      <c r="H2" s="334"/>
      <c r="I2" s="335"/>
      <c r="Q2" s="131"/>
      <c r="R2" s="133"/>
      <c r="S2" s="133"/>
      <c r="T2" s="133"/>
      <c r="V2" s="4"/>
      <c r="W2" s="4"/>
      <c r="X2" s="4"/>
    </row>
    <row r="3" spans="1:56" s="123" customFormat="1" ht="45.75" customHeight="1" x14ac:dyDescent="0.3">
      <c r="A3" s="395" t="s">
        <v>308</v>
      </c>
      <c r="B3" s="337" t="s">
        <v>305</v>
      </c>
      <c r="C3" s="337" t="s">
        <v>306</v>
      </c>
      <c r="D3" s="394" t="s">
        <v>291</v>
      </c>
      <c r="E3" s="351"/>
      <c r="F3" s="351"/>
      <c r="G3" s="351"/>
      <c r="H3" s="351"/>
      <c r="I3" s="352"/>
      <c r="J3" s="394" t="s">
        <v>292</v>
      </c>
      <c r="K3" s="352"/>
      <c r="L3" s="225" t="s">
        <v>290</v>
      </c>
      <c r="M3" s="394" t="s">
        <v>450</v>
      </c>
      <c r="N3" s="351"/>
      <c r="O3" s="351"/>
      <c r="P3" s="352"/>
      <c r="Q3" s="226"/>
      <c r="R3" s="347" t="s">
        <v>394</v>
      </c>
      <c r="S3" s="348"/>
      <c r="T3" s="348"/>
      <c r="U3" s="349"/>
      <c r="V3" s="4"/>
      <c r="W3" s="4"/>
      <c r="X3" s="4"/>
    </row>
    <row r="4" spans="1:56" s="4" customFormat="1" ht="82.8" x14ac:dyDescent="0.3">
      <c r="A4" s="395"/>
      <c r="B4" s="338"/>
      <c r="C4" s="338"/>
      <c r="D4" s="206" t="s">
        <v>30</v>
      </c>
      <c r="E4" s="206" t="s">
        <v>31</v>
      </c>
      <c r="F4" s="206" t="s">
        <v>32</v>
      </c>
      <c r="G4" s="206" t="s">
        <v>33</v>
      </c>
      <c r="H4" s="206" t="s">
        <v>34</v>
      </c>
      <c r="I4" s="207" t="s">
        <v>36</v>
      </c>
      <c r="J4" s="206" t="s">
        <v>286</v>
      </c>
      <c r="K4" s="206" t="s">
        <v>35</v>
      </c>
      <c r="L4" s="206" t="s">
        <v>294</v>
      </c>
      <c r="M4" s="207" t="s">
        <v>289</v>
      </c>
      <c r="N4" s="206" t="s">
        <v>310</v>
      </c>
      <c r="O4" s="207" t="s">
        <v>287</v>
      </c>
      <c r="P4" s="207" t="s">
        <v>288</v>
      </c>
      <c r="Q4" s="107"/>
      <c r="R4" s="134" t="s">
        <v>392</v>
      </c>
      <c r="S4" s="134" t="s">
        <v>395</v>
      </c>
      <c r="T4" s="134" t="s">
        <v>393</v>
      </c>
      <c r="U4" s="134" t="s">
        <v>407</v>
      </c>
    </row>
    <row r="5" spans="1:56" s="4" customFormat="1" ht="15.6" x14ac:dyDescent="0.3">
      <c r="A5" s="223" t="s">
        <v>1</v>
      </c>
      <c r="B5" s="223">
        <f>'Saisie immeuble'!B11</f>
        <v>0</v>
      </c>
      <c r="C5" s="224">
        <f>'Saisie immeuble'!C11</f>
        <v>0</v>
      </c>
      <c r="D5" s="215">
        <f>IF(ISERROR(Feuil1!Q14/12),0,Feuil1!Q14/12)</f>
        <v>0</v>
      </c>
      <c r="E5" s="215" t="str">
        <f>IF(ISNA(Feuil1!AX14/12),"-",Feuil1!AX14/12)</f>
        <v>-</v>
      </c>
      <c r="F5" s="216" t="str">
        <f>IF(ISNA(Feuil1!AS14/12),"-",Feuil1!AS14/12)</f>
        <v>-</v>
      </c>
      <c r="G5" s="215" t="str">
        <f>IF(ISNA(Feuil1!AG14/12),"-",Feuil1!AG14/12)</f>
        <v>-</v>
      </c>
      <c r="H5" s="215" t="str">
        <f>IF(ISNA(Feuil1!AI14/12),"-",Feuil1!AI14/12)</f>
        <v>-</v>
      </c>
      <c r="I5" s="217">
        <f t="shared" ref="I5:I14" si="0">SUM(D5:G5,H5)</f>
        <v>0</v>
      </c>
      <c r="J5" s="216">
        <f>(('Saisie immeuble'!L11*'Saisie immeuble'!C11)+SUM('Saisie immeuble'!M11:P11))/12</f>
        <v>0</v>
      </c>
      <c r="K5" s="216">
        <f>'Saisie immeuble'!K11+'Résultat immeuble'!I5+J5</f>
        <v>0</v>
      </c>
      <c r="L5" s="216">
        <f>$K5-'Saisie immeuble'!$V11</f>
        <v>0</v>
      </c>
      <c r="M5" s="217">
        <f>'Saisie immeuble'!$S11-'Résultat immeuble'!L5</f>
        <v>0</v>
      </c>
      <c r="N5" s="218">
        <f>IF('Saisie immeuble'!I11&gt;0,1+0.5*('Saisie immeuble'!I11-1)+0.3*'Saisie immeuble'!J11,0)</f>
        <v>0</v>
      </c>
      <c r="O5" s="219">
        <f>IF(ISERROR(M5/($N5*30)),0,M5/($N5*30))</f>
        <v>0</v>
      </c>
      <c r="P5" s="220">
        <f>IF(ISERROR(L5/'Saisie immeuble'!$S11),0,L5/'Saisie immeuble'!$S11)</f>
        <v>0</v>
      </c>
      <c r="Q5" s="221"/>
      <c r="R5" s="208">
        <f>IF(ISERROR('Cheque Energie'!G24),0,'Cheque Energie'!G24)</f>
        <v>0</v>
      </c>
      <c r="S5" s="208">
        <f>R5/12</f>
        <v>0</v>
      </c>
      <c r="T5" s="208">
        <f>M5+S5</f>
        <v>0</v>
      </c>
      <c r="U5" s="209">
        <f>IF(ISERROR((L5-S5)/('Saisie immeuble'!S11+'Saisie immeuble'!T11)),0,(L5-S5)/('Saisie immeuble'!S11+'Saisie immeuble'!T11))</f>
        <v>0</v>
      </c>
    </row>
    <row r="6" spans="1:56" ht="15.6" x14ac:dyDescent="0.3">
      <c r="A6" s="223" t="s">
        <v>2</v>
      </c>
      <c r="B6" s="223">
        <f>'Saisie immeuble'!B12</f>
        <v>0</v>
      </c>
      <c r="C6" s="224">
        <f>'Saisie immeuble'!C12</f>
        <v>0</v>
      </c>
      <c r="D6" s="215">
        <f>IF(ISERROR(Feuil1!Q15/12),0,Feuil1!Q15/12)</f>
        <v>0</v>
      </c>
      <c r="E6" s="215" t="str">
        <f>IF(ISNA(Feuil1!AX15/12),"-",Feuil1!AX15/12)</f>
        <v>-</v>
      </c>
      <c r="F6" s="216" t="str">
        <f>IF(ISNA(Feuil1!AS15/12),"-",Feuil1!AS15/12)</f>
        <v>-</v>
      </c>
      <c r="G6" s="215" t="str">
        <f>IF(ISNA(Feuil1!AG15/12),"-",Feuil1!AG15/12)</f>
        <v>-</v>
      </c>
      <c r="H6" s="215" t="str">
        <f>IF(ISNA(Feuil1!AI15/12),"-",Feuil1!AI15/12)</f>
        <v>-</v>
      </c>
      <c r="I6" s="217">
        <f t="shared" si="0"/>
        <v>0</v>
      </c>
      <c r="J6" s="216">
        <f>(('Saisie immeuble'!L12*'Saisie immeuble'!C12)+SUM('Saisie immeuble'!M12:P12))/12</f>
        <v>0</v>
      </c>
      <c r="K6" s="216">
        <f>'Saisie immeuble'!K12+'Résultat immeuble'!I6+J6</f>
        <v>0</v>
      </c>
      <c r="L6" s="216">
        <f>$K6-'Saisie immeuble'!$V12</f>
        <v>0</v>
      </c>
      <c r="M6" s="217">
        <f>'Saisie immeuble'!$S12-'Résultat immeuble'!L6</f>
        <v>0</v>
      </c>
      <c r="N6" s="218">
        <f>IF('Saisie immeuble'!I12&gt;0,1+0.5*('Saisie immeuble'!I12-1)+0.3*'Saisie immeuble'!J12,0)</f>
        <v>0</v>
      </c>
      <c r="O6" s="219">
        <f t="shared" ref="O6:O14" si="1">IF(ISERROR(M6/($N6*30)),0,M6/($N6*30))</f>
        <v>0</v>
      </c>
      <c r="P6" s="220">
        <f>IF(ISERROR(L6/'Saisie immeuble'!$S12),0,L6/'Saisie immeuble'!$S12)</f>
        <v>0</v>
      </c>
      <c r="Q6" s="221"/>
      <c r="R6" s="208">
        <f>IF(ISERROR('Cheque Energie'!G25),0,'Cheque Energie'!G25)</f>
        <v>0</v>
      </c>
      <c r="S6" s="208">
        <f t="shared" ref="S6:S14" si="2">R6/12</f>
        <v>0</v>
      </c>
      <c r="T6" s="208">
        <f t="shared" ref="T6:T14" si="3">M6+S6</f>
        <v>0</v>
      </c>
      <c r="U6" s="209">
        <f>IF(ISERROR((L6-S6)/('Saisie immeuble'!S12+'Saisie immeuble'!T12)),0,(L6-S6)/('Saisie immeuble'!S12+'Saisie immeuble'!T12))</f>
        <v>0</v>
      </c>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row>
    <row r="7" spans="1:56" ht="15.6" x14ac:dyDescent="0.3">
      <c r="A7" s="223" t="s">
        <v>3</v>
      </c>
      <c r="B7" s="223">
        <f>'Saisie immeuble'!B13</f>
        <v>0</v>
      </c>
      <c r="C7" s="224">
        <f>'Saisie immeuble'!C13</f>
        <v>0</v>
      </c>
      <c r="D7" s="215">
        <f>IF(ISERROR(Feuil1!Q16/12),0,Feuil1!Q16/12)</f>
        <v>0</v>
      </c>
      <c r="E7" s="215" t="str">
        <f>IF(ISNA(Feuil1!AX16/12),"-",Feuil1!AX16/12)</f>
        <v>-</v>
      </c>
      <c r="F7" s="216" t="str">
        <f>IF(ISNA(Feuil1!AS16/12),"-",Feuil1!AS16/12)</f>
        <v>-</v>
      </c>
      <c r="G7" s="215" t="str">
        <f>IF(ISNA(Feuil1!AG16/12),"-",Feuil1!AG16/12)</f>
        <v>-</v>
      </c>
      <c r="H7" s="215" t="str">
        <f>IF(ISNA(Feuil1!AI16/12),"-",Feuil1!AI16/12)</f>
        <v>-</v>
      </c>
      <c r="I7" s="217">
        <f t="shared" si="0"/>
        <v>0</v>
      </c>
      <c r="J7" s="216">
        <f>(('Saisie immeuble'!L13*'Saisie immeuble'!C13)+SUM('Saisie immeuble'!M13:P13))/12</f>
        <v>0</v>
      </c>
      <c r="K7" s="216">
        <f>'Saisie immeuble'!K13+'Résultat immeuble'!I7+J7</f>
        <v>0</v>
      </c>
      <c r="L7" s="216">
        <f>$K7-'Saisie immeuble'!$V13</f>
        <v>0</v>
      </c>
      <c r="M7" s="217">
        <f>'Saisie immeuble'!$S13-'Résultat immeuble'!L7</f>
        <v>0</v>
      </c>
      <c r="N7" s="218">
        <f>IF('Saisie immeuble'!I13&gt;0,1+0.5*('Saisie immeuble'!I13-1)+0.3*'Saisie immeuble'!J13,0)</f>
        <v>0</v>
      </c>
      <c r="O7" s="219">
        <f t="shared" si="1"/>
        <v>0</v>
      </c>
      <c r="P7" s="220">
        <f>IF(ISERROR(L7/'Saisie immeuble'!$S13),0,L7/'Saisie immeuble'!$S13)</f>
        <v>0</v>
      </c>
      <c r="Q7" s="222"/>
      <c r="R7" s="208">
        <f>IF(ISERROR('Cheque Energie'!G26),0,'Cheque Energie'!G26)</f>
        <v>0</v>
      </c>
      <c r="S7" s="208">
        <f t="shared" si="2"/>
        <v>0</v>
      </c>
      <c r="T7" s="208">
        <f t="shared" si="3"/>
        <v>0</v>
      </c>
      <c r="U7" s="209">
        <f>IF(ISERROR((L7-S7)/('Saisie immeuble'!S13+'Saisie immeuble'!T13)),0,(L7-S7)/('Saisie immeuble'!S13+'Saisie immeuble'!T13))</f>
        <v>0</v>
      </c>
    </row>
    <row r="8" spans="1:56" ht="15.6" x14ac:dyDescent="0.3">
      <c r="A8" s="223" t="s">
        <v>4</v>
      </c>
      <c r="B8" s="223">
        <f>'Saisie immeuble'!B14</f>
        <v>0</v>
      </c>
      <c r="C8" s="224">
        <f>'Saisie immeuble'!C14</f>
        <v>0</v>
      </c>
      <c r="D8" s="215">
        <f>IF(ISERROR(Feuil1!Q17/12),0,Feuil1!Q17/12)</f>
        <v>0</v>
      </c>
      <c r="E8" s="215" t="str">
        <f>IF(ISNA(Feuil1!AX17/12),"-",Feuil1!AX17/12)</f>
        <v>-</v>
      </c>
      <c r="F8" s="216" t="str">
        <f>IF(ISNA(Feuil1!AS17/12),"-",Feuil1!AS17/12)</f>
        <v>-</v>
      </c>
      <c r="G8" s="215" t="str">
        <f>IF(ISNA(Feuil1!AG17/12),"-",Feuil1!AG17/12)</f>
        <v>-</v>
      </c>
      <c r="H8" s="215" t="str">
        <f>IF(ISNA(Feuil1!AI17/12),"-",Feuil1!AI17/12)</f>
        <v>-</v>
      </c>
      <c r="I8" s="217">
        <f t="shared" si="0"/>
        <v>0</v>
      </c>
      <c r="J8" s="216">
        <f>(('Saisie immeuble'!L14*'Saisie immeuble'!C14)+SUM('Saisie immeuble'!M14:P14))/12</f>
        <v>0</v>
      </c>
      <c r="K8" s="216">
        <f>'Saisie immeuble'!K14+'Résultat immeuble'!I8+J8</f>
        <v>0</v>
      </c>
      <c r="L8" s="216">
        <f>$K8-'Saisie immeuble'!$V14</f>
        <v>0</v>
      </c>
      <c r="M8" s="217">
        <f>'Saisie immeuble'!$S14-'Résultat immeuble'!L8</f>
        <v>0</v>
      </c>
      <c r="N8" s="218">
        <f>IF('Saisie immeuble'!I14&gt;0,1+0.5*('Saisie immeuble'!I14-1)+0.3*'Saisie immeuble'!J14,0)</f>
        <v>0</v>
      </c>
      <c r="O8" s="219">
        <f t="shared" si="1"/>
        <v>0</v>
      </c>
      <c r="P8" s="220">
        <f>IF(ISERROR(L8/'Saisie immeuble'!$S14),0,L8/'Saisie immeuble'!$S14)</f>
        <v>0</v>
      </c>
      <c r="Q8" s="222"/>
      <c r="R8" s="208">
        <f>IF(ISERROR('Cheque Energie'!G27),0,'Cheque Energie'!G27)</f>
        <v>0</v>
      </c>
      <c r="S8" s="208">
        <f t="shared" si="2"/>
        <v>0</v>
      </c>
      <c r="T8" s="208">
        <f t="shared" si="3"/>
        <v>0</v>
      </c>
      <c r="U8" s="209">
        <f>IF(ISERROR((L8-S8)/('Saisie immeuble'!S14+'Saisie immeuble'!T14)),0,(L8-S8)/('Saisie immeuble'!S14+'Saisie immeuble'!T14))</f>
        <v>0</v>
      </c>
    </row>
    <row r="9" spans="1:56" ht="15.6" x14ac:dyDescent="0.3">
      <c r="A9" s="223" t="s">
        <v>5</v>
      </c>
      <c r="B9" s="223">
        <f>'Saisie immeuble'!B15</f>
        <v>0</v>
      </c>
      <c r="C9" s="224">
        <f>'Saisie immeuble'!C15</f>
        <v>0</v>
      </c>
      <c r="D9" s="215">
        <f>IF(ISERROR(Feuil1!Q18/12),0,Feuil1!Q18/12)</f>
        <v>0</v>
      </c>
      <c r="E9" s="215" t="str">
        <f>IF(ISNA(Feuil1!AX18/12),"-",Feuil1!AX18/12)</f>
        <v>-</v>
      </c>
      <c r="F9" s="216" t="str">
        <f>IF(ISNA(Feuil1!AS18/12),"-",Feuil1!AS18/12)</f>
        <v>-</v>
      </c>
      <c r="G9" s="215" t="str">
        <f>IF(ISNA(Feuil1!AG18/12),"-",Feuil1!AG18/12)</f>
        <v>-</v>
      </c>
      <c r="H9" s="215" t="str">
        <f>IF(ISNA(Feuil1!AI18/12),"-",Feuil1!AI18/12)</f>
        <v>-</v>
      </c>
      <c r="I9" s="217">
        <f t="shared" si="0"/>
        <v>0</v>
      </c>
      <c r="J9" s="216">
        <f>(('Saisie immeuble'!L15*'Saisie immeuble'!C15)+SUM('Saisie immeuble'!M15:P15))/12</f>
        <v>0</v>
      </c>
      <c r="K9" s="216">
        <f>'Saisie immeuble'!K15+'Résultat immeuble'!I9++J9</f>
        <v>0</v>
      </c>
      <c r="L9" s="216">
        <f>$K9-'Saisie immeuble'!$V15</f>
        <v>0</v>
      </c>
      <c r="M9" s="217">
        <f>'Saisie immeuble'!$S15-'Résultat immeuble'!L9</f>
        <v>0</v>
      </c>
      <c r="N9" s="218">
        <f>IF('Saisie immeuble'!I15&gt;0,1+0.5*('Saisie immeuble'!I15-1)+0.3*'Saisie immeuble'!J15,0)</f>
        <v>0</v>
      </c>
      <c r="O9" s="219">
        <f t="shared" si="1"/>
        <v>0</v>
      </c>
      <c r="P9" s="220">
        <f>IF(ISERROR(L9/'Saisie immeuble'!$S15),0,L9/'Saisie immeuble'!$S15)</f>
        <v>0</v>
      </c>
      <c r="Q9" s="222"/>
      <c r="R9" s="208">
        <f>IF(ISERROR('Cheque Energie'!G28),0,'Cheque Energie'!G28)</f>
        <v>0</v>
      </c>
      <c r="S9" s="208">
        <f t="shared" si="2"/>
        <v>0</v>
      </c>
      <c r="T9" s="208">
        <f t="shared" si="3"/>
        <v>0</v>
      </c>
      <c r="U9" s="209">
        <f>IF(ISERROR((L9-S9)/('Saisie immeuble'!S15+'Saisie immeuble'!T15)),0,(L9-S9)/('Saisie immeuble'!S15+'Saisie immeuble'!T15))</f>
        <v>0</v>
      </c>
    </row>
    <row r="10" spans="1:56" ht="15.6" x14ac:dyDescent="0.3">
      <c r="A10" s="223" t="s">
        <v>6</v>
      </c>
      <c r="B10" s="223">
        <f>'Saisie immeuble'!B16</f>
        <v>0</v>
      </c>
      <c r="C10" s="224">
        <f>'Saisie immeuble'!C16</f>
        <v>0</v>
      </c>
      <c r="D10" s="215">
        <f>IF(ISERROR(Feuil1!Q19/12),0,Feuil1!Q19/12)</f>
        <v>0</v>
      </c>
      <c r="E10" s="215" t="str">
        <f>IF(ISNA(Feuil1!AX19/12),"-",Feuil1!AX19/12)</f>
        <v>-</v>
      </c>
      <c r="F10" s="216" t="str">
        <f>IF(ISNA(Feuil1!AS19/12),"-",Feuil1!AS19/12)</f>
        <v>-</v>
      </c>
      <c r="G10" s="215" t="str">
        <f>IF(ISNA(Feuil1!AG19/12),"-",Feuil1!AG19/12)</f>
        <v>-</v>
      </c>
      <c r="H10" s="215" t="str">
        <f>IF(ISNA(Feuil1!AI19/12),"-",Feuil1!AI19/12)</f>
        <v>-</v>
      </c>
      <c r="I10" s="217">
        <f t="shared" si="0"/>
        <v>0</v>
      </c>
      <c r="J10" s="216">
        <f>(('Saisie immeuble'!L16*'Saisie immeuble'!C16)+SUM('Saisie immeuble'!M16:P16))/12</f>
        <v>0</v>
      </c>
      <c r="K10" s="216">
        <f>'Saisie immeuble'!K16+'Résultat immeuble'!I10++J10</f>
        <v>0</v>
      </c>
      <c r="L10" s="216">
        <f>$K10-'Saisie immeuble'!$V16</f>
        <v>0</v>
      </c>
      <c r="M10" s="217">
        <f>'Saisie immeuble'!$S16-'Résultat immeuble'!L10</f>
        <v>0</v>
      </c>
      <c r="N10" s="218">
        <f>IF('Saisie immeuble'!I16&gt;0,1+0.5*('Saisie immeuble'!I16-1)+0.3*'Saisie immeuble'!J16,0)</f>
        <v>0</v>
      </c>
      <c r="O10" s="219">
        <f t="shared" si="1"/>
        <v>0</v>
      </c>
      <c r="P10" s="220">
        <f>IF(ISERROR(L10/'Saisie immeuble'!$S16),0,L10/'Saisie immeuble'!$S16)</f>
        <v>0</v>
      </c>
      <c r="Q10" s="222"/>
      <c r="R10" s="208">
        <f>IF(ISERROR('Cheque Energie'!G29),0,'Cheque Energie'!G29)</f>
        <v>0</v>
      </c>
      <c r="S10" s="208">
        <f t="shared" si="2"/>
        <v>0</v>
      </c>
      <c r="T10" s="208">
        <f t="shared" si="3"/>
        <v>0</v>
      </c>
      <c r="U10" s="209">
        <f>IF(ISERROR((L10-S10)/('Saisie immeuble'!S16+'Saisie immeuble'!T16)),0,(L10-S10)/('Saisie immeuble'!S16+'Saisie immeuble'!T16))</f>
        <v>0</v>
      </c>
    </row>
    <row r="11" spans="1:56" ht="15.6" x14ac:dyDescent="0.3">
      <c r="A11" s="223" t="s">
        <v>7</v>
      </c>
      <c r="B11" s="223">
        <f>'Saisie immeuble'!B17</f>
        <v>0</v>
      </c>
      <c r="C11" s="224">
        <f>'Saisie immeuble'!C17</f>
        <v>0</v>
      </c>
      <c r="D11" s="215">
        <f>IF(ISERROR(Feuil1!Q20/12),0,Feuil1!Q20/12)</f>
        <v>0</v>
      </c>
      <c r="E11" s="215" t="str">
        <f>IF(ISNA(Feuil1!AX20/12),"-",Feuil1!AX20/12)</f>
        <v>-</v>
      </c>
      <c r="F11" s="216" t="str">
        <f>IF(ISNA(Feuil1!AS20/12),"-",Feuil1!AS20/12)</f>
        <v>-</v>
      </c>
      <c r="G11" s="215" t="str">
        <f>IF(ISNA(Feuil1!AG20/12),"-",Feuil1!AG20/12)</f>
        <v>-</v>
      </c>
      <c r="H11" s="215" t="str">
        <f>IF(ISNA(Feuil1!AI20/12),"-",Feuil1!AI20/12)</f>
        <v>-</v>
      </c>
      <c r="I11" s="217">
        <f t="shared" si="0"/>
        <v>0</v>
      </c>
      <c r="J11" s="216">
        <f>(('Saisie immeuble'!L17*'Saisie immeuble'!C17)+SUM('Saisie immeuble'!M17:P17))/12</f>
        <v>0</v>
      </c>
      <c r="K11" s="216">
        <f>'Saisie immeuble'!K17+'Résultat immeuble'!I11+J11</f>
        <v>0</v>
      </c>
      <c r="L11" s="216">
        <f>$K11-'Saisie immeuble'!$V17</f>
        <v>0</v>
      </c>
      <c r="M11" s="217">
        <f>'Saisie immeuble'!$S17-'Résultat immeuble'!L11</f>
        <v>0</v>
      </c>
      <c r="N11" s="218">
        <f>IF('Saisie immeuble'!I17&gt;0,1+0.5*('Saisie immeuble'!I17-1)+0.3*'Saisie immeuble'!J17,0)</f>
        <v>0</v>
      </c>
      <c r="O11" s="219">
        <f t="shared" si="1"/>
        <v>0</v>
      </c>
      <c r="P11" s="220">
        <f>IF(ISERROR(L11/'Saisie immeuble'!$S17),0,L11/'Saisie immeuble'!$S17)</f>
        <v>0</v>
      </c>
      <c r="Q11" s="222"/>
      <c r="R11" s="208">
        <f>IF(ISERROR('Cheque Energie'!G30),0,'Cheque Energie'!G30)</f>
        <v>0</v>
      </c>
      <c r="S11" s="208">
        <f t="shared" si="2"/>
        <v>0</v>
      </c>
      <c r="T11" s="208">
        <f t="shared" si="3"/>
        <v>0</v>
      </c>
      <c r="U11" s="209">
        <f>IF(ISERROR((L11-S11)/('Saisie immeuble'!S17+'Saisie immeuble'!T17)),0,(L11-S11)/('Saisie immeuble'!S17+'Saisie immeuble'!T17))</f>
        <v>0</v>
      </c>
    </row>
    <row r="12" spans="1:56" ht="15.6" x14ac:dyDescent="0.3">
      <c r="A12" s="223" t="s">
        <v>8</v>
      </c>
      <c r="B12" s="223">
        <f>'Saisie immeuble'!B18</f>
        <v>0</v>
      </c>
      <c r="C12" s="224">
        <f>'Saisie immeuble'!C18</f>
        <v>0</v>
      </c>
      <c r="D12" s="215">
        <f>IF(ISERROR(Feuil1!Q21/12),0,Feuil1!Q21/12)</f>
        <v>0</v>
      </c>
      <c r="E12" s="215" t="str">
        <f>IF(ISNA(Feuil1!AX21/12),"-",Feuil1!AX21/12)</f>
        <v>-</v>
      </c>
      <c r="F12" s="216" t="str">
        <f>IF(ISNA(Feuil1!AS21/12),"-",Feuil1!AS21/12)</f>
        <v>-</v>
      </c>
      <c r="G12" s="215" t="str">
        <f>IF(ISNA(Feuil1!AG21/12),"-",Feuil1!AG21/12)</f>
        <v>-</v>
      </c>
      <c r="H12" s="215" t="str">
        <f>IF(ISNA(Feuil1!AI21/12),"-",Feuil1!AI21/12)</f>
        <v>-</v>
      </c>
      <c r="I12" s="217">
        <f t="shared" si="0"/>
        <v>0</v>
      </c>
      <c r="J12" s="216">
        <f>(('Saisie immeuble'!L18*'Saisie immeuble'!C18)+SUM('Saisie immeuble'!M18:P18))/12</f>
        <v>0</v>
      </c>
      <c r="K12" s="216">
        <f>'Saisie immeuble'!K18+'Résultat immeuble'!I12++J12</f>
        <v>0</v>
      </c>
      <c r="L12" s="216">
        <f>$K12-'Saisie immeuble'!$V18</f>
        <v>0</v>
      </c>
      <c r="M12" s="217">
        <f>'Saisie immeuble'!$S18-'Résultat immeuble'!L12</f>
        <v>0</v>
      </c>
      <c r="N12" s="218">
        <f>IF('Saisie immeuble'!I18&gt;0,1+0.5*('Saisie immeuble'!I18-1)+0.3*'Saisie immeuble'!J18,0)</f>
        <v>0</v>
      </c>
      <c r="O12" s="219">
        <f t="shared" si="1"/>
        <v>0</v>
      </c>
      <c r="P12" s="220">
        <f>IF(ISERROR(L12/'Saisie immeuble'!$S18),0,L12/'Saisie immeuble'!$S18)</f>
        <v>0</v>
      </c>
      <c r="Q12" s="222"/>
      <c r="R12" s="208">
        <f>IF(ISERROR('Cheque Energie'!G31),0,'Cheque Energie'!G31)</f>
        <v>0</v>
      </c>
      <c r="S12" s="208">
        <f t="shared" si="2"/>
        <v>0</v>
      </c>
      <c r="T12" s="208">
        <f t="shared" si="3"/>
        <v>0</v>
      </c>
      <c r="U12" s="209">
        <f>IF(ISERROR((L12-S12)/('Saisie immeuble'!S18+'Saisie immeuble'!T18)),0,(L12-S12)/('Saisie immeuble'!S18+'Saisie immeuble'!T18))</f>
        <v>0</v>
      </c>
    </row>
    <row r="13" spans="1:56" ht="15.6" x14ac:dyDescent="0.3">
      <c r="A13" s="223" t="s">
        <v>9</v>
      </c>
      <c r="B13" s="223">
        <f>'Saisie immeuble'!B19</f>
        <v>0</v>
      </c>
      <c r="C13" s="224">
        <f>'Saisie immeuble'!C19</f>
        <v>0</v>
      </c>
      <c r="D13" s="215">
        <f>IF(ISERROR(Feuil1!Q22/12),0,Feuil1!Q22/12)</f>
        <v>0</v>
      </c>
      <c r="E13" s="215" t="str">
        <f>IF(ISNA(Feuil1!AX22/12),"-",Feuil1!AX22/12)</f>
        <v>-</v>
      </c>
      <c r="F13" s="216" t="str">
        <f>IF(ISNA(Feuil1!AS22/12),"-",Feuil1!AS22/12)</f>
        <v>-</v>
      </c>
      <c r="G13" s="215" t="str">
        <f>IF(ISNA(Feuil1!AG22/12),"-",Feuil1!AG22/12)</f>
        <v>-</v>
      </c>
      <c r="H13" s="215" t="str">
        <f>IF(ISNA(Feuil1!AI22/12),"-",Feuil1!AI22/12)</f>
        <v>-</v>
      </c>
      <c r="I13" s="217">
        <f t="shared" si="0"/>
        <v>0</v>
      </c>
      <c r="J13" s="216">
        <f>(('Saisie immeuble'!L19*'Saisie immeuble'!C19)+SUM('Saisie immeuble'!M19:P19))/12</f>
        <v>0</v>
      </c>
      <c r="K13" s="216">
        <f>'Saisie immeuble'!K19+'Résultat immeuble'!I13+J13</f>
        <v>0</v>
      </c>
      <c r="L13" s="216">
        <f>$K13-'Saisie immeuble'!$V19</f>
        <v>0</v>
      </c>
      <c r="M13" s="217">
        <f>'Saisie immeuble'!$S19-'Résultat immeuble'!L13</f>
        <v>0</v>
      </c>
      <c r="N13" s="218">
        <f>IF('Saisie immeuble'!I19&gt;0,1+0.5*('Saisie immeuble'!I19-1)+0.3*'Saisie immeuble'!J19,0)</f>
        <v>0</v>
      </c>
      <c r="O13" s="219">
        <f t="shared" si="1"/>
        <v>0</v>
      </c>
      <c r="P13" s="220">
        <f>IF(ISERROR(L13/'Saisie immeuble'!$S19),0,L13/'Saisie immeuble'!$S19)</f>
        <v>0</v>
      </c>
      <c r="Q13" s="222"/>
      <c r="R13" s="208">
        <f>IF(ISERROR('Cheque Energie'!G32),0,'Cheque Energie'!G32)</f>
        <v>0</v>
      </c>
      <c r="S13" s="208">
        <f t="shared" si="2"/>
        <v>0</v>
      </c>
      <c r="T13" s="208">
        <f t="shared" si="3"/>
        <v>0</v>
      </c>
      <c r="U13" s="209">
        <f>IF(ISERROR((L13-S13)/('Saisie immeuble'!S19+'Saisie immeuble'!T19)),0,(L13-S13)/('Saisie immeuble'!S19+'Saisie immeuble'!T19))</f>
        <v>0</v>
      </c>
    </row>
    <row r="14" spans="1:56" ht="15.6" x14ac:dyDescent="0.3">
      <c r="A14" s="223" t="s">
        <v>10</v>
      </c>
      <c r="B14" s="223">
        <f>'Saisie immeuble'!B20</f>
        <v>0</v>
      </c>
      <c r="C14" s="224">
        <f>'Saisie immeuble'!C20</f>
        <v>0</v>
      </c>
      <c r="D14" s="215">
        <f>IF(ISERROR(Feuil1!Q23/12),0,Feuil1!Q23/12)</f>
        <v>0</v>
      </c>
      <c r="E14" s="215" t="str">
        <f>IF(ISNA(Feuil1!AX23/12),"-",Feuil1!AX23/12)</f>
        <v>-</v>
      </c>
      <c r="F14" s="216" t="str">
        <f>IF(ISNA(Feuil1!AS23/12),"-",Feuil1!AS23/12)</f>
        <v>-</v>
      </c>
      <c r="G14" s="215" t="str">
        <f>IF(ISNA(Feuil1!AG23/12),"-",Feuil1!AG23/12)</f>
        <v>-</v>
      </c>
      <c r="H14" s="215" t="str">
        <f>IF(ISNA(Feuil1!AI23/12),"-",Feuil1!AI23/12)</f>
        <v>-</v>
      </c>
      <c r="I14" s="217">
        <f t="shared" si="0"/>
        <v>0</v>
      </c>
      <c r="J14" s="216">
        <f>(('Saisie immeuble'!L20*'Saisie immeuble'!C20)+SUM('Saisie immeuble'!M20:P20))/12</f>
        <v>0</v>
      </c>
      <c r="K14" s="216">
        <f>'Saisie immeuble'!K20+'Résultat immeuble'!I14+J14</f>
        <v>0</v>
      </c>
      <c r="L14" s="216">
        <f>$K14-'Saisie immeuble'!$V20</f>
        <v>0</v>
      </c>
      <c r="M14" s="217">
        <f>'Saisie immeuble'!$S20-'Résultat immeuble'!L14</f>
        <v>0</v>
      </c>
      <c r="N14" s="218">
        <f>IF('Saisie immeuble'!I20&gt;0,1+0.5*('Saisie immeuble'!I20-1)+0.3*'Saisie immeuble'!J20,0)</f>
        <v>0</v>
      </c>
      <c r="O14" s="219">
        <f t="shared" si="1"/>
        <v>0</v>
      </c>
      <c r="P14" s="220">
        <f>IF(ISERROR(L14/'Saisie immeuble'!$S20),0,L14/'Saisie immeuble'!$S20)</f>
        <v>0</v>
      </c>
      <c r="Q14" s="222"/>
      <c r="R14" s="208">
        <f>IF(ISERROR('Cheque Energie'!G33),0,'Cheque Energie'!G33)</f>
        <v>0</v>
      </c>
      <c r="S14" s="208">
        <f t="shared" si="2"/>
        <v>0</v>
      </c>
      <c r="T14" s="208">
        <f t="shared" si="3"/>
        <v>0</v>
      </c>
      <c r="U14" s="209">
        <f>IF(ISERROR((L14-S14)/('Saisie immeuble'!S20+'Saisie immeuble'!T20)),0,(L14-S14)/('Saisie immeuble'!S20+'Saisie immeuble'!T20))</f>
        <v>0</v>
      </c>
    </row>
    <row r="15" spans="1:56" ht="9.75" customHeight="1" x14ac:dyDescent="0.3">
      <c r="A15" s="101"/>
      <c r="B15" s="101"/>
      <c r="C15" s="101"/>
      <c r="D15" s="102"/>
      <c r="E15" s="102"/>
      <c r="F15" s="103"/>
      <c r="G15" s="102"/>
      <c r="H15" s="102"/>
      <c r="I15" s="102"/>
      <c r="J15" s="103"/>
      <c r="K15" s="102"/>
      <c r="L15" s="103"/>
      <c r="M15" s="103"/>
      <c r="N15" s="103"/>
      <c r="O15" s="103"/>
      <c r="P15" s="103"/>
      <c r="Q15" s="103"/>
      <c r="R15" s="103"/>
      <c r="S15" s="103"/>
      <c r="T15" s="104"/>
      <c r="U15" s="102"/>
      <c r="V15" s="102"/>
      <c r="W15" s="105"/>
      <c r="X15" s="105"/>
    </row>
    <row r="16" spans="1:56" ht="24.9" customHeight="1" x14ac:dyDescent="0.3">
      <c r="A16" s="103"/>
      <c r="B16" s="343" t="s">
        <v>396</v>
      </c>
      <c r="C16" s="344"/>
      <c r="D16" s="344"/>
      <c r="E16" s="345"/>
      <c r="G16" s="359" t="s">
        <v>397</v>
      </c>
      <c r="H16" s="360"/>
      <c r="I16" s="360"/>
      <c r="J16" s="361"/>
      <c r="O16" s="103"/>
      <c r="P16" s="103"/>
      <c r="Q16" s="103"/>
      <c r="R16" s="103"/>
      <c r="S16" s="104"/>
      <c r="T16" s="102"/>
      <c r="U16" s="102"/>
      <c r="V16" s="105"/>
      <c r="W16" s="105"/>
    </row>
    <row r="17" spans="1:23" ht="20.25" customHeight="1" x14ac:dyDescent="0.3">
      <c r="A17" s="103"/>
      <c r="B17" s="399" t="s">
        <v>448</v>
      </c>
      <c r="C17" s="399" t="s">
        <v>276</v>
      </c>
      <c r="D17" s="399" t="s">
        <v>449</v>
      </c>
      <c r="E17" s="399" t="s">
        <v>276</v>
      </c>
      <c r="G17" s="396"/>
      <c r="H17" s="397"/>
      <c r="I17" s="397"/>
      <c r="J17" s="398"/>
      <c r="O17" s="103"/>
      <c r="P17" s="103"/>
      <c r="Q17" s="103"/>
      <c r="R17" s="103"/>
      <c r="S17" s="104"/>
      <c r="T17" s="102"/>
      <c r="U17" s="102"/>
      <c r="V17" s="105"/>
      <c r="W17" s="105"/>
    </row>
    <row r="18" spans="1:23" ht="20.25" customHeight="1" x14ac:dyDescent="0.3">
      <c r="A18" s="103"/>
      <c r="B18" s="341"/>
      <c r="C18" s="341"/>
      <c r="D18" s="341"/>
      <c r="E18" s="341"/>
      <c r="G18" s="400" t="s">
        <v>229</v>
      </c>
      <c r="H18" s="400"/>
      <c r="I18" s="400" t="s">
        <v>437</v>
      </c>
      <c r="J18" s="400"/>
      <c r="O18" s="103"/>
      <c r="P18" s="103"/>
      <c r="Q18" s="103"/>
      <c r="R18" s="103"/>
      <c r="S18" s="104"/>
      <c r="T18" s="102"/>
      <c r="U18" s="102"/>
      <c r="V18" s="105"/>
      <c r="W18" s="105"/>
    </row>
    <row r="19" spans="1:23" s="4" customFormat="1" ht="15" customHeight="1" x14ac:dyDescent="0.3">
      <c r="A19" s="229" t="s">
        <v>278</v>
      </c>
      <c r="B19" s="142">
        <f>IF(ISERROR(Feuil1!P14+Feuil1!AD14+Feuil1!AH14+Feuil1!AT14),0,Feuil1!P14+Feuil1!AD14+Feuil1!AH14+Feuil1!AT14)</f>
        <v>0</v>
      </c>
      <c r="C19" s="132">
        <f>IF(ISERROR(B19/'Saisie immeuble'!C11),0,B19/'Saisie immeuble'!C11)</f>
        <v>0</v>
      </c>
      <c r="D19" s="142">
        <f>IF(ISERROR(Feuil1!P14),0,Feuil1!P14)</f>
        <v>0</v>
      </c>
      <c r="E19" s="132">
        <f>IF(ISERROR(D19/'Saisie immeuble'!C11),0,D19/'Saisie immeuble'!C11)</f>
        <v>0</v>
      </c>
      <c r="G19" s="400"/>
      <c r="H19" s="400"/>
      <c r="I19" s="400"/>
      <c r="J19" s="400"/>
      <c r="O19" s="103"/>
      <c r="P19" s="103"/>
      <c r="Q19" s="103"/>
      <c r="R19" s="103"/>
      <c r="S19" s="104"/>
      <c r="T19" s="102"/>
      <c r="U19" s="102"/>
      <c r="V19" s="105"/>
      <c r="W19" s="105"/>
    </row>
    <row r="20" spans="1:23" x14ac:dyDescent="0.3">
      <c r="A20" s="229" t="s">
        <v>202</v>
      </c>
      <c r="B20" s="142">
        <f>IF(ISERROR(Feuil1!P15+Feuil1!AD15+Feuil1!AH15+Feuil1!AT15),0,Feuil1!P15+Feuil1!AD15+Feuil1!AH15+Feuil1!AT15)</f>
        <v>0</v>
      </c>
      <c r="C20" s="132">
        <f>IF(ISERROR(B20/'Saisie immeuble'!C12),0,B20/'Saisie immeuble'!C12)</f>
        <v>0</v>
      </c>
      <c r="D20" s="142">
        <f>IF(ISERROR(Feuil1!P15),0,Feuil1!P15)</f>
        <v>0</v>
      </c>
      <c r="E20" s="132">
        <f>IF(ISERROR(D20/'Saisie immeuble'!C12),0,D20/'Saisie immeuble'!C12)</f>
        <v>0</v>
      </c>
      <c r="G20" s="400"/>
      <c r="H20" s="400"/>
      <c r="I20" s="400"/>
      <c r="J20" s="400"/>
      <c r="O20" s="103"/>
      <c r="P20" s="103"/>
      <c r="Q20" s="103"/>
      <c r="R20" s="103"/>
      <c r="S20" s="104"/>
      <c r="T20" s="102"/>
      <c r="U20" s="102"/>
      <c r="V20" s="105"/>
      <c r="W20" s="105"/>
    </row>
    <row r="21" spans="1:23" x14ac:dyDescent="0.3">
      <c r="A21" s="229" t="s">
        <v>203</v>
      </c>
      <c r="B21" s="142">
        <f>IF(ISERROR(Feuil1!P16+Feuil1!AD16+Feuil1!AH16+Feuil1!AT16),0,Feuil1!P16+Feuil1!AD16+Feuil1!AH16+Feuil1!AT16)</f>
        <v>0</v>
      </c>
      <c r="C21" s="132">
        <f>IF(ISERROR(B21/'Saisie immeuble'!C13),0,B21/'Saisie immeuble'!C13)</f>
        <v>0</v>
      </c>
      <c r="D21" s="142">
        <f>IF(ISERROR(Feuil1!P16),0,Feuil1!P16)</f>
        <v>0</v>
      </c>
      <c r="E21" s="132">
        <f>IF(ISERROR(D21/'Saisie immeuble'!C13),0,D21/'Saisie immeuble'!C13)</f>
        <v>0</v>
      </c>
      <c r="G21" s="400"/>
      <c r="H21" s="400"/>
      <c r="I21" s="400"/>
      <c r="J21" s="400"/>
      <c r="O21" s="103"/>
      <c r="P21" s="103"/>
      <c r="Q21" s="103"/>
      <c r="R21" s="103"/>
      <c r="S21" s="104"/>
      <c r="T21" s="102"/>
      <c r="U21" s="102"/>
      <c r="V21" s="105"/>
      <c r="W21" s="105"/>
    </row>
    <row r="22" spans="1:23" x14ac:dyDescent="0.3">
      <c r="A22" s="229" t="s">
        <v>279</v>
      </c>
      <c r="B22" s="142">
        <f>IF(ISERROR(Feuil1!P17+Feuil1!AD17+Feuil1!AH17+Feuil1!AT17),0,Feuil1!P17+Feuil1!AD17+Feuil1!AH17+Feuil1!AT17)</f>
        <v>0</v>
      </c>
      <c r="C22" s="132">
        <f>IF(ISERROR(B22/'Saisie immeuble'!C14),0,B22/'Saisie immeuble'!C14)</f>
        <v>0</v>
      </c>
      <c r="D22" s="142">
        <f>IF(ISERROR(Feuil1!P17),0,Feuil1!P17)</f>
        <v>0</v>
      </c>
      <c r="E22" s="132">
        <f>IF(ISERROR(D22/'Saisie immeuble'!C14),0,D22/'Saisie immeuble'!C14)</f>
        <v>0</v>
      </c>
      <c r="G22" s="143"/>
      <c r="H22" s="143"/>
      <c r="I22" s="143"/>
      <c r="J22" s="143"/>
      <c r="O22" s="103"/>
      <c r="P22" s="103"/>
      <c r="Q22" s="103"/>
      <c r="R22" s="103"/>
      <c r="S22" s="104"/>
      <c r="T22" s="102"/>
      <c r="U22" s="102"/>
      <c r="V22" s="105"/>
      <c r="W22" s="105"/>
    </row>
    <row r="23" spans="1:23" x14ac:dyDescent="0.3">
      <c r="A23" s="229" t="s">
        <v>280</v>
      </c>
      <c r="B23" s="142">
        <f>IF(ISERROR(Feuil1!P18+Feuil1!AD18+Feuil1!AH18+Feuil1!AT18),0,Feuil1!P18+Feuil1!AD18+Feuil1!AH18+Feuil1!AT18)</f>
        <v>0</v>
      </c>
      <c r="C23" s="132">
        <f>IF(ISERROR(B23/'Saisie immeuble'!C15),0,B23/'Saisie immeuble'!C15)</f>
        <v>0</v>
      </c>
      <c r="D23" s="142">
        <f>IF(ISERROR(Feuil1!P18),0,Feuil1!P18)</f>
        <v>0</v>
      </c>
      <c r="E23" s="132">
        <f>IF(ISERROR(D23/'Saisie immeuble'!C15),0,D23/'Saisie immeuble'!C15)</f>
        <v>0</v>
      </c>
      <c r="G23" s="102"/>
      <c r="H23" s="102"/>
      <c r="O23" s="103"/>
      <c r="P23" s="103"/>
      <c r="Q23" s="103"/>
      <c r="R23" s="103"/>
      <c r="S23" s="104"/>
      <c r="T23" s="102"/>
      <c r="U23" s="102"/>
      <c r="V23" s="105"/>
      <c r="W23" s="105"/>
    </row>
    <row r="24" spans="1:23" x14ac:dyDescent="0.3">
      <c r="A24" s="229" t="s">
        <v>281</v>
      </c>
      <c r="B24" s="142">
        <f>IF(ISERROR(Feuil1!P19+Feuil1!AD19+Feuil1!AH19+Feuil1!AT19),0,Feuil1!P19+Feuil1!AD19+Feuil1!AH19+Feuil1!AT19)</f>
        <v>0</v>
      </c>
      <c r="C24" s="132">
        <f>IF(ISERROR(B24/'Saisie immeuble'!C16),0,B24/'Saisie immeuble'!C16)</f>
        <v>0</v>
      </c>
      <c r="D24" s="142">
        <f>IF(ISERROR(Feuil1!P19),0,Feuil1!P19)</f>
        <v>0</v>
      </c>
      <c r="E24" s="132">
        <f>IF(ISERROR(D24/'Saisie immeuble'!C16),0,D24/'Saisie immeuble'!C16)</f>
        <v>0</v>
      </c>
      <c r="G24" s="102"/>
      <c r="H24" s="102"/>
      <c r="O24" s="103"/>
      <c r="P24" s="103"/>
      <c r="Q24" s="103"/>
      <c r="R24" s="103"/>
      <c r="S24" s="104"/>
      <c r="T24" s="102"/>
      <c r="U24" s="102"/>
      <c r="V24" s="105"/>
      <c r="W24" s="105"/>
    </row>
    <row r="25" spans="1:23" x14ac:dyDescent="0.3">
      <c r="A25" s="229" t="s">
        <v>282</v>
      </c>
      <c r="B25" s="142">
        <f>IF(ISERROR(Feuil1!P20+Feuil1!AD20+Feuil1!AH20+Feuil1!AT20),0,Feuil1!P20+Feuil1!AD20+Feuil1!AH20+Feuil1!AT20)</f>
        <v>0</v>
      </c>
      <c r="C25" s="132">
        <f>IF(ISERROR(B25/'Saisie immeuble'!C17),0,B25/'Saisie immeuble'!C17)</f>
        <v>0</v>
      </c>
      <c r="D25" s="142">
        <f>IF(ISERROR(Feuil1!P20),0,Feuil1!P20)</f>
        <v>0</v>
      </c>
      <c r="E25" s="132">
        <f>IF(ISERROR(D25/'Saisie immeuble'!C17),0,D25/'Saisie immeuble'!C17)</f>
        <v>0</v>
      </c>
    </row>
    <row r="26" spans="1:23" x14ac:dyDescent="0.3">
      <c r="A26" s="229" t="s">
        <v>283</v>
      </c>
      <c r="B26" s="142">
        <f>IF(ISERROR(Feuil1!P21+Feuil1!AD21+Feuil1!AH21+Feuil1!AT21),0,Feuil1!P21+Feuil1!AD21+Feuil1!AH21+Feuil1!AT21)</f>
        <v>0</v>
      </c>
      <c r="C26" s="132">
        <f>IF(ISERROR(B26/'Saisie immeuble'!C18),0,B26/'Saisie immeuble'!C18)</f>
        <v>0</v>
      </c>
      <c r="D26" s="142">
        <f>IF(ISERROR(Feuil1!P21),0,Feuil1!P21)</f>
        <v>0</v>
      </c>
      <c r="E26" s="132">
        <f>IF(ISERROR(D26/'Saisie immeuble'!C18),0,D26/'Saisie immeuble'!C18)</f>
        <v>0</v>
      </c>
    </row>
    <row r="27" spans="1:23" x14ac:dyDescent="0.3">
      <c r="A27" s="229" t="s">
        <v>284</v>
      </c>
      <c r="B27" s="142">
        <f>IF(ISERROR(Feuil1!P22+Feuil1!AD22+Feuil1!AH22+Feuil1!AT22),0,Feuil1!P22+Feuil1!AD22+Feuil1!AH22+Feuil1!AT22)</f>
        <v>0</v>
      </c>
      <c r="C27" s="132">
        <f>IF(ISERROR(B27/'Saisie immeuble'!C19),0,B27/'Saisie immeuble'!C19)</f>
        <v>0</v>
      </c>
      <c r="D27" s="142">
        <f>IF(ISERROR(Feuil1!P22),0,Feuil1!P22)</f>
        <v>0</v>
      </c>
      <c r="E27" s="132">
        <f>IF(ISERROR(D27/'Saisie immeuble'!C19),0,D27/'Saisie immeuble'!C19)</f>
        <v>0</v>
      </c>
    </row>
    <row r="28" spans="1:23" x14ac:dyDescent="0.3">
      <c r="A28" s="230" t="s">
        <v>285</v>
      </c>
      <c r="B28" s="142">
        <f>IF(ISERROR(Feuil1!P23+Feuil1!AD23+Feuil1!AH23+Feuil1!AT23),0,Feuil1!P23+Feuil1!AD23+Feuil1!AH23+Feuil1!AT23)</f>
        <v>0</v>
      </c>
      <c r="C28" s="132">
        <f>IF(ISERROR(B28/'Saisie immeuble'!C20),0,B28/'Saisie immeuble'!C20)</f>
        <v>0</v>
      </c>
      <c r="D28" s="142">
        <f>IF(ISERROR(Feuil1!P23),0,Feuil1!P23)</f>
        <v>0</v>
      </c>
      <c r="E28" s="132">
        <f>IF(ISERROR(D28/'Saisie immeuble'!C20),0,D28/'Saisie immeuble'!C20)</f>
        <v>0</v>
      </c>
    </row>
    <row r="29" spans="1:23" x14ac:dyDescent="0.3">
      <c r="A29" t="s">
        <v>447</v>
      </c>
      <c r="B29" s="201"/>
      <c r="C29" s="202"/>
      <c r="D29" s="201"/>
      <c r="E29" s="202"/>
    </row>
    <row r="30" spans="1:23" ht="8.25" customHeight="1" x14ac:dyDescent="0.3">
      <c r="A30" s="199"/>
      <c r="B30" s="201"/>
      <c r="C30" s="202"/>
      <c r="D30" s="201"/>
      <c r="E30" s="202"/>
    </row>
    <row r="32" spans="1:23" x14ac:dyDescent="0.3">
      <c r="A32" s="200"/>
    </row>
  </sheetData>
  <sheetProtection algorithmName="SHA-512" hashValue="dlIZkMqMAEFVwymeD7dMxp6yO2I7FOa1yGEzkyVUVJm/Un8vwjRF3CLZO/g0LuR7PLyzIq0zLSmo2JMud5EVuw==" saltValue="yWVnXYgsToHL1M4d5YjJbw==" spinCount="100000" sheet="1" objects="1" scenarios="1"/>
  <mergeCells count="18">
    <mergeCell ref="G16:J17"/>
    <mergeCell ref="B17:B18"/>
    <mergeCell ref="C17:C18"/>
    <mergeCell ref="D17:D18"/>
    <mergeCell ref="E17:E18"/>
    <mergeCell ref="B16:E16"/>
    <mergeCell ref="G18:H21"/>
    <mergeCell ref="I18:J21"/>
    <mergeCell ref="A1:U1"/>
    <mergeCell ref="D2:I2"/>
    <mergeCell ref="R3:U3"/>
    <mergeCell ref="D3:I3"/>
    <mergeCell ref="J3:K3"/>
    <mergeCell ref="M3:P3"/>
    <mergeCell ref="A2:C2"/>
    <mergeCell ref="B3:B4"/>
    <mergeCell ref="A3:A4"/>
    <mergeCell ref="C3:C4"/>
  </mergeCells>
  <conditionalFormatting sqref="O16:W24 G23:H24 D15:X15 D5:P14 A32 A16:A28 A30">
    <cfRule type="containsErrors" dxfId="4" priority="11">
      <formula>ISERROR(A5)</formula>
    </cfRule>
  </conditionalFormatting>
  <conditionalFormatting sqref="N5:N14 S16:S24 T15">
    <cfRule type="cellIs" dxfId="3" priority="7" operator="equal">
      <formula>0</formula>
    </cfRule>
  </conditionalFormatting>
  <conditionalFormatting sqref="T5:U14">
    <cfRule type="containsErrors" dxfId="2" priority="3">
      <formula>ISERROR(T5)</formula>
    </cfRule>
  </conditionalFormatting>
  <conditionalFormatting sqref="R5:S14">
    <cfRule type="containsErrors" dxfId="1" priority="2">
      <formula>ISERROR(R5)</formula>
    </cfRule>
  </conditionalFormatting>
  <conditionalFormatting sqref="D2">
    <cfRule type="containsErrors" dxfId="0" priority="1">
      <formula>ISERROR(D2)</formula>
    </cfRule>
  </conditionalFormatting>
  <pageMargins left="0.25" right="0.25" top="0.75" bottom="0.75" header="0.3" footer="0.3"/>
  <pageSetup paperSize="9" scale="52" orientation="landscape" r:id="rId1"/>
  <ignoredErrors>
    <ignoredError sqref="Q13:Q14 X19:AA24 I5 N5:N14 Y15:AB15 X16:AA17 I6:I14"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BM80"/>
  <sheetViews>
    <sheetView topLeftCell="A52" workbookViewId="0">
      <selection activeCell="G70" sqref="G70"/>
    </sheetView>
  </sheetViews>
  <sheetFormatPr baseColWidth="10" defaultRowHeight="14.4" x14ac:dyDescent="0.3"/>
  <cols>
    <col min="2" max="2" width="13.88671875" customWidth="1"/>
    <col min="4" max="4" width="16.33203125" bestFit="1" customWidth="1"/>
    <col min="5" max="6" width="10.6640625" customWidth="1"/>
    <col min="7" max="7" width="59.88671875" customWidth="1"/>
    <col min="8" max="8" width="10.6640625" customWidth="1"/>
    <col min="9" max="9" width="12.109375" customWidth="1"/>
    <col min="10" max="10" width="10.6640625" customWidth="1"/>
    <col min="11" max="11" width="14.88671875" customWidth="1"/>
    <col min="12" max="12" width="10.6640625" customWidth="1"/>
    <col min="13" max="13" width="13.109375" bestFit="1" customWidth="1"/>
    <col min="14" max="16" width="10.6640625" customWidth="1"/>
    <col min="17" max="17" width="22.88671875" customWidth="1"/>
    <col min="18" max="18" width="13.44140625" customWidth="1"/>
    <col min="19" max="27" width="10.6640625" customWidth="1"/>
    <col min="28" max="28" width="11.33203125" customWidth="1"/>
    <col min="29" max="29" width="26" customWidth="1"/>
    <col min="30" max="31" width="10.6640625" customWidth="1"/>
    <col min="32" max="32" width="14.5546875" customWidth="1"/>
    <col min="33" max="35" width="10.6640625" customWidth="1"/>
    <col min="36" max="36" width="13.109375" customWidth="1"/>
    <col min="37" max="37" width="12.5546875" customWidth="1"/>
    <col min="38" max="65" width="10.6640625" customWidth="1"/>
  </cols>
  <sheetData>
    <row r="1" spans="2:65" ht="201" customHeight="1" x14ac:dyDescent="0.3">
      <c r="C1" s="46" t="s">
        <v>89</v>
      </c>
      <c r="D1" s="48" t="s">
        <v>94</v>
      </c>
      <c r="E1" s="48" t="s">
        <v>95</v>
      </c>
      <c r="F1" s="48" t="s">
        <v>96</v>
      </c>
      <c r="G1" s="48" t="s">
        <v>97</v>
      </c>
      <c r="H1" s="48" t="s">
        <v>98</v>
      </c>
      <c r="I1" s="48" t="s">
        <v>99</v>
      </c>
      <c r="J1" s="48" t="s">
        <v>100</v>
      </c>
      <c r="K1" s="48" t="s">
        <v>101</v>
      </c>
      <c r="L1" s="48" t="s">
        <v>102</v>
      </c>
      <c r="M1" s="48" t="s">
        <v>103</v>
      </c>
      <c r="N1" s="48" t="s">
        <v>104</v>
      </c>
      <c r="O1" s="48" t="s">
        <v>105</v>
      </c>
      <c r="P1" s="48" t="s">
        <v>106</v>
      </c>
      <c r="Q1" s="48" t="s">
        <v>107</v>
      </c>
      <c r="R1" s="48" t="s">
        <v>108</v>
      </c>
      <c r="S1" s="48" t="s">
        <v>109</v>
      </c>
      <c r="T1" s="48" t="s">
        <v>110</v>
      </c>
      <c r="U1" s="48" t="s">
        <v>111</v>
      </c>
      <c r="V1" s="48" t="s">
        <v>112</v>
      </c>
      <c r="W1" s="48" t="s">
        <v>113</v>
      </c>
      <c r="X1" s="48" t="s">
        <v>114</v>
      </c>
      <c r="Y1" s="48" t="s">
        <v>115</v>
      </c>
      <c r="Z1" s="48" t="s">
        <v>116</v>
      </c>
      <c r="AA1" s="48" t="s">
        <v>117</v>
      </c>
      <c r="AB1" s="48" t="s">
        <v>118</v>
      </c>
      <c r="AC1" s="48" t="s">
        <v>119</v>
      </c>
      <c r="AD1" s="48" t="s">
        <v>120</v>
      </c>
      <c r="AE1" s="48" t="s">
        <v>121</v>
      </c>
      <c r="AF1" s="48" t="s">
        <v>122</v>
      </c>
      <c r="AG1" s="48" t="s">
        <v>123</v>
      </c>
      <c r="AH1" s="48" t="s">
        <v>124</v>
      </c>
      <c r="AI1" s="48" t="s">
        <v>125</v>
      </c>
      <c r="AJ1" s="48" t="s">
        <v>126</v>
      </c>
      <c r="AK1" s="48" t="s">
        <v>127</v>
      </c>
      <c r="AL1" s="48" t="s">
        <v>128</v>
      </c>
      <c r="AM1" s="48" t="s">
        <v>129</v>
      </c>
      <c r="AN1" s="48" t="s">
        <v>130</v>
      </c>
      <c r="AO1" s="48" t="s">
        <v>131</v>
      </c>
      <c r="AP1" s="48" t="s">
        <v>132</v>
      </c>
      <c r="AQ1" s="48" t="s">
        <v>133</v>
      </c>
      <c r="AR1" s="48" t="s">
        <v>134</v>
      </c>
      <c r="AS1" s="48" t="s">
        <v>135</v>
      </c>
      <c r="AT1" s="48" t="s">
        <v>136</v>
      </c>
      <c r="AU1" s="48" t="s">
        <v>137</v>
      </c>
      <c r="AV1" s="48" t="s">
        <v>138</v>
      </c>
      <c r="AW1" s="48" t="s">
        <v>139</v>
      </c>
      <c r="AX1" s="48" t="s">
        <v>140</v>
      </c>
      <c r="AY1" s="48" t="s">
        <v>141</v>
      </c>
      <c r="AZ1" s="48" t="s">
        <v>142</v>
      </c>
      <c r="BA1" s="48" t="s">
        <v>143</v>
      </c>
      <c r="BB1" s="48" t="s">
        <v>144</v>
      </c>
      <c r="BC1" s="48" t="s">
        <v>145</v>
      </c>
      <c r="BD1" s="48" t="s">
        <v>146</v>
      </c>
      <c r="BE1" s="48" t="s">
        <v>147</v>
      </c>
      <c r="BF1" s="48" t="s">
        <v>191</v>
      </c>
      <c r="BG1" s="48" t="s">
        <v>148</v>
      </c>
      <c r="BH1" s="48" t="s">
        <v>149</v>
      </c>
      <c r="BI1" s="48" t="s">
        <v>150</v>
      </c>
      <c r="BJ1" s="48" t="s">
        <v>151</v>
      </c>
      <c r="BK1" s="48" t="s">
        <v>152</v>
      </c>
      <c r="BL1" s="48" t="s">
        <v>153</v>
      </c>
      <c r="BM1" s="48" t="s">
        <v>154</v>
      </c>
    </row>
    <row r="2" spans="2:65" x14ac:dyDescent="0.3">
      <c r="C2" s="46" t="s">
        <v>90</v>
      </c>
      <c r="D2" s="49">
        <v>80</v>
      </c>
      <c r="E2" s="49">
        <v>47</v>
      </c>
      <c r="F2" s="49">
        <v>61</v>
      </c>
      <c r="G2" s="49">
        <v>1</v>
      </c>
      <c r="H2" s="49">
        <v>49</v>
      </c>
      <c r="I2" s="49">
        <v>89</v>
      </c>
      <c r="J2" s="49">
        <v>60</v>
      </c>
      <c r="K2" s="49">
        <v>25</v>
      </c>
      <c r="L2" s="49">
        <v>64</v>
      </c>
      <c r="M2" s="49">
        <v>33</v>
      </c>
      <c r="N2" s="49">
        <v>18</v>
      </c>
      <c r="O2" s="49">
        <v>29</v>
      </c>
      <c r="P2" s="49">
        <v>14</v>
      </c>
      <c r="Q2" s="49">
        <v>28</v>
      </c>
      <c r="R2" s="49">
        <v>36</v>
      </c>
      <c r="S2" s="49">
        <v>63</v>
      </c>
      <c r="T2" s="49">
        <v>16</v>
      </c>
      <c r="U2" s="49">
        <v>40</v>
      </c>
      <c r="V2" s="49">
        <v>21</v>
      </c>
      <c r="W2" s="49">
        <v>5</v>
      </c>
      <c r="X2" s="49">
        <v>46</v>
      </c>
      <c r="Y2" s="49">
        <v>38</v>
      </c>
      <c r="Z2" s="49">
        <v>17</v>
      </c>
      <c r="AA2" s="49">
        <v>52</v>
      </c>
      <c r="AB2" s="49">
        <v>48</v>
      </c>
      <c r="AC2" s="49">
        <v>59</v>
      </c>
      <c r="AD2" s="49">
        <v>87</v>
      </c>
      <c r="AE2" s="49">
        <v>56</v>
      </c>
      <c r="AF2" s="49">
        <v>70</v>
      </c>
      <c r="AG2" s="49">
        <v>69</v>
      </c>
      <c r="AH2" s="49">
        <v>71</v>
      </c>
      <c r="AI2" s="49">
        <v>13</v>
      </c>
      <c r="AJ2" s="49">
        <v>57</v>
      </c>
      <c r="AK2" s="49">
        <v>12</v>
      </c>
      <c r="AL2" s="49">
        <v>40</v>
      </c>
      <c r="AM2" s="49">
        <v>26</v>
      </c>
      <c r="AN2" s="49">
        <v>34</v>
      </c>
      <c r="AO2" s="49">
        <v>68</v>
      </c>
      <c r="AP2" s="49">
        <v>54</v>
      </c>
      <c r="AQ2" s="49">
        <v>44</v>
      </c>
      <c r="AR2" s="49">
        <v>58</v>
      </c>
      <c r="AS2" s="49">
        <v>6</v>
      </c>
      <c r="AT2" s="49">
        <v>30</v>
      </c>
      <c r="AU2" s="49">
        <v>84</v>
      </c>
      <c r="AV2" s="49">
        <v>45</v>
      </c>
      <c r="AW2" s="49">
        <v>75</v>
      </c>
      <c r="AX2" s="49">
        <v>64</v>
      </c>
      <c r="AY2" s="49">
        <v>66</v>
      </c>
      <c r="AZ2" s="49">
        <v>86</v>
      </c>
      <c r="BA2" s="49">
        <v>51</v>
      </c>
      <c r="BB2" s="49">
        <v>35</v>
      </c>
      <c r="BC2" s="49">
        <v>76</v>
      </c>
      <c r="BD2" s="49">
        <v>9</v>
      </c>
      <c r="BE2" s="49">
        <v>52</v>
      </c>
      <c r="BF2" s="49">
        <v>42</v>
      </c>
      <c r="BG2" s="49">
        <v>2</v>
      </c>
      <c r="BH2" s="49">
        <v>67</v>
      </c>
      <c r="BI2" s="49">
        <v>65</v>
      </c>
      <c r="BJ2" s="49">
        <v>83</v>
      </c>
      <c r="BK2" s="49">
        <v>31</v>
      </c>
      <c r="BL2" s="49">
        <v>37</v>
      </c>
      <c r="BM2" s="49">
        <v>78</v>
      </c>
    </row>
    <row r="3" spans="2:65" x14ac:dyDescent="0.3">
      <c r="C3" s="1" t="s">
        <v>231</v>
      </c>
      <c r="D3" s="84">
        <v>1</v>
      </c>
      <c r="E3" s="84">
        <v>3</v>
      </c>
      <c r="F3" s="84">
        <v>2</v>
      </c>
      <c r="G3" s="84">
        <v>2</v>
      </c>
      <c r="H3" s="84">
        <v>2</v>
      </c>
      <c r="I3" s="84">
        <v>2</v>
      </c>
      <c r="J3" s="84">
        <v>2</v>
      </c>
      <c r="K3" s="84">
        <v>2</v>
      </c>
      <c r="L3" s="84">
        <v>3</v>
      </c>
      <c r="M3" s="84">
        <v>3</v>
      </c>
      <c r="N3" s="84">
        <v>2</v>
      </c>
      <c r="O3" s="84">
        <v>2</v>
      </c>
      <c r="P3" s="84">
        <v>1</v>
      </c>
      <c r="Q3" s="84">
        <v>2</v>
      </c>
      <c r="R3" s="84">
        <v>2</v>
      </c>
      <c r="S3" s="84">
        <v>2</v>
      </c>
      <c r="T3" s="84">
        <v>3</v>
      </c>
      <c r="U3" s="84">
        <v>3</v>
      </c>
      <c r="V3" s="84">
        <v>2</v>
      </c>
      <c r="W3" s="84">
        <v>2</v>
      </c>
      <c r="X3" s="84">
        <v>2</v>
      </c>
      <c r="Y3" s="84">
        <v>1</v>
      </c>
      <c r="Z3" s="84">
        <v>3</v>
      </c>
      <c r="AA3" s="84">
        <v>2</v>
      </c>
      <c r="AB3" s="84">
        <v>2</v>
      </c>
      <c r="AC3" s="84">
        <v>1</v>
      </c>
      <c r="AD3" s="84">
        <v>2</v>
      </c>
      <c r="AE3" s="84">
        <v>2</v>
      </c>
      <c r="AF3" s="84">
        <v>1</v>
      </c>
      <c r="AG3" s="84">
        <v>1</v>
      </c>
      <c r="AH3" s="84">
        <v>2</v>
      </c>
      <c r="AI3" s="84">
        <v>3</v>
      </c>
      <c r="AJ3" s="84">
        <v>1</v>
      </c>
      <c r="AK3" s="84">
        <v>2</v>
      </c>
      <c r="AL3" s="84">
        <v>3</v>
      </c>
      <c r="AM3" s="84">
        <v>2</v>
      </c>
      <c r="AN3" s="84">
        <v>3</v>
      </c>
      <c r="AO3" s="84">
        <v>1</v>
      </c>
      <c r="AP3" s="84">
        <v>1</v>
      </c>
      <c r="AQ3" s="84">
        <v>2</v>
      </c>
      <c r="AR3" s="84">
        <v>2</v>
      </c>
      <c r="AS3" s="84">
        <v>3</v>
      </c>
      <c r="AT3" s="84">
        <v>3</v>
      </c>
      <c r="AU3" s="84">
        <v>3</v>
      </c>
      <c r="AV3" s="84">
        <v>2</v>
      </c>
      <c r="AW3" s="84">
        <v>3</v>
      </c>
      <c r="AX3" s="84">
        <v>3</v>
      </c>
      <c r="AY3" s="84">
        <v>3</v>
      </c>
      <c r="AZ3" s="84">
        <v>2</v>
      </c>
      <c r="BA3" s="84">
        <v>1</v>
      </c>
      <c r="BB3" s="84">
        <v>2</v>
      </c>
      <c r="BC3" s="84">
        <v>1</v>
      </c>
      <c r="BD3" s="84">
        <v>2</v>
      </c>
      <c r="BE3" s="84">
        <v>2</v>
      </c>
      <c r="BF3" s="84">
        <v>2</v>
      </c>
      <c r="BG3" s="84">
        <v>2</v>
      </c>
      <c r="BH3" s="84">
        <v>1</v>
      </c>
      <c r="BI3" s="84">
        <v>3</v>
      </c>
      <c r="BJ3" s="84">
        <v>3</v>
      </c>
      <c r="BK3" s="84">
        <v>3</v>
      </c>
      <c r="BL3" s="84">
        <v>2</v>
      </c>
      <c r="BM3" s="84">
        <v>2</v>
      </c>
    </row>
    <row r="4" spans="2:65" x14ac:dyDescent="0.3">
      <c r="B4" s="89" t="s">
        <v>155</v>
      </c>
      <c r="C4" s="47"/>
      <c r="D4" s="44">
        <v>4393</v>
      </c>
      <c r="E4" s="44">
        <v>2913</v>
      </c>
      <c r="F4" s="44">
        <v>4089</v>
      </c>
      <c r="G4" s="44">
        <v>4215</v>
      </c>
      <c r="H4" s="44">
        <v>3415</v>
      </c>
      <c r="I4" s="44">
        <v>4164</v>
      </c>
      <c r="J4" s="44">
        <v>4476</v>
      </c>
      <c r="K4" s="44">
        <v>4403</v>
      </c>
      <c r="L4" s="44">
        <v>1897</v>
      </c>
      <c r="M4" s="44">
        <v>2951</v>
      </c>
      <c r="N4" s="44">
        <v>3933</v>
      </c>
      <c r="O4" s="44">
        <v>3173</v>
      </c>
      <c r="P4" s="44">
        <v>3791</v>
      </c>
      <c r="Q4" s="44">
        <v>4259</v>
      </c>
      <c r="R4" s="44">
        <v>3989</v>
      </c>
      <c r="S4" s="44">
        <v>3778</v>
      </c>
      <c r="T4" s="44">
        <v>2905</v>
      </c>
      <c r="U4" s="44">
        <v>2488</v>
      </c>
      <c r="V4" s="44">
        <v>4327</v>
      </c>
      <c r="W4" s="44">
        <v>4186</v>
      </c>
      <c r="X4" s="44">
        <v>3233</v>
      </c>
      <c r="Y4" s="44">
        <v>4214</v>
      </c>
      <c r="Z4" s="44">
        <v>2666</v>
      </c>
      <c r="AA4" s="44">
        <v>5160</v>
      </c>
      <c r="AB4" s="44">
        <v>3695</v>
      </c>
      <c r="AC4" s="44">
        <v>4589</v>
      </c>
      <c r="AD4" s="44">
        <v>3772</v>
      </c>
      <c r="AE4" s="44">
        <v>3045</v>
      </c>
      <c r="AF4" s="44">
        <v>4866</v>
      </c>
      <c r="AG4" s="44">
        <v>3955</v>
      </c>
      <c r="AH4" s="44">
        <v>4087</v>
      </c>
      <c r="AI4" s="44">
        <v>2206</v>
      </c>
      <c r="AJ4" s="44">
        <v>4872</v>
      </c>
      <c r="AK4" s="44">
        <v>4270</v>
      </c>
      <c r="AL4" s="44">
        <v>2955</v>
      </c>
      <c r="AM4" s="44">
        <v>2971</v>
      </c>
      <c r="AN4" s="44">
        <v>2322</v>
      </c>
      <c r="AO4" s="44">
        <v>4643</v>
      </c>
      <c r="AP4" s="44">
        <v>4801</v>
      </c>
      <c r="AQ4" s="44">
        <v>3099</v>
      </c>
      <c r="AR4" s="44">
        <v>4287</v>
      </c>
      <c r="AS4" s="44">
        <v>1584</v>
      </c>
      <c r="AT4" s="44">
        <v>2403</v>
      </c>
      <c r="AU4" s="44">
        <v>2813</v>
      </c>
      <c r="AV4" s="44">
        <v>4148</v>
      </c>
      <c r="AW4" s="44">
        <v>3555</v>
      </c>
      <c r="AX4" s="44">
        <v>2595</v>
      </c>
      <c r="AY4" s="44">
        <v>1937</v>
      </c>
      <c r="AZ4" s="44">
        <v>3607</v>
      </c>
      <c r="BA4" s="44">
        <v>4371</v>
      </c>
      <c r="BB4" s="44">
        <v>3358</v>
      </c>
      <c r="BC4" s="44">
        <v>4447</v>
      </c>
      <c r="BD4" s="44">
        <v>3051</v>
      </c>
      <c r="BE4" s="44">
        <v>4174</v>
      </c>
      <c r="BF4" s="44">
        <v>4850</v>
      </c>
      <c r="BG4" s="44">
        <v>4463</v>
      </c>
      <c r="BH4" s="44">
        <v>4734</v>
      </c>
      <c r="BI4" s="44">
        <v>3012</v>
      </c>
      <c r="BJ4" s="44">
        <v>1356</v>
      </c>
      <c r="BK4" s="44">
        <v>2766</v>
      </c>
      <c r="BL4" s="44">
        <v>3707</v>
      </c>
      <c r="BM4" s="44">
        <v>4291</v>
      </c>
    </row>
    <row r="5" spans="2:65" x14ac:dyDescent="0.3">
      <c r="B5" s="414" t="s">
        <v>265</v>
      </c>
      <c r="C5" s="1" t="s">
        <v>157</v>
      </c>
      <c r="D5" s="50">
        <f>IF(D$3=1,D$4*1.3,IF(D$3=2,D$4*1.32,D$4*1.35))</f>
        <v>5710.9000000000005</v>
      </c>
      <c r="E5" s="50">
        <f>IF(E$3=1,E$4*1.3,IF(E$3=2,E$4*1.32,E$4*1.35))</f>
        <v>3932.55</v>
      </c>
      <c r="F5" s="50">
        <f t="shared" ref="F5:AK5" si="0">IF(F3=1,F4*1.3,IF(F3=2,F4*1.32,F4*1.35))</f>
        <v>5397.4800000000005</v>
      </c>
      <c r="G5" s="50">
        <f t="shared" si="0"/>
        <v>5563.8</v>
      </c>
      <c r="H5" s="50">
        <f t="shared" si="0"/>
        <v>4507.8</v>
      </c>
      <c r="I5" s="50">
        <f t="shared" si="0"/>
        <v>5496.4800000000005</v>
      </c>
      <c r="J5" s="50">
        <f t="shared" si="0"/>
        <v>5908.3200000000006</v>
      </c>
      <c r="K5" s="50">
        <f t="shared" si="0"/>
        <v>5811.96</v>
      </c>
      <c r="L5" s="50">
        <f t="shared" si="0"/>
        <v>2560.9500000000003</v>
      </c>
      <c r="M5" s="50">
        <f t="shared" si="0"/>
        <v>3983.8500000000004</v>
      </c>
      <c r="N5" s="50">
        <f t="shared" si="0"/>
        <v>5191.5600000000004</v>
      </c>
      <c r="O5" s="50">
        <f t="shared" si="0"/>
        <v>4188.3600000000006</v>
      </c>
      <c r="P5" s="50">
        <f t="shared" si="0"/>
        <v>4928.3</v>
      </c>
      <c r="Q5" s="50">
        <f t="shared" si="0"/>
        <v>5621.88</v>
      </c>
      <c r="R5" s="50">
        <f t="shared" si="0"/>
        <v>5265.4800000000005</v>
      </c>
      <c r="S5" s="50">
        <f t="shared" si="0"/>
        <v>4986.96</v>
      </c>
      <c r="T5" s="50">
        <f t="shared" si="0"/>
        <v>3921.7500000000005</v>
      </c>
      <c r="U5" s="50">
        <f t="shared" si="0"/>
        <v>3358.8</v>
      </c>
      <c r="V5" s="50">
        <f t="shared" si="0"/>
        <v>5711.64</v>
      </c>
      <c r="W5" s="50">
        <f t="shared" si="0"/>
        <v>5525.52</v>
      </c>
      <c r="X5" s="50">
        <f t="shared" si="0"/>
        <v>4267.5600000000004</v>
      </c>
      <c r="Y5" s="50">
        <f t="shared" si="0"/>
        <v>5478.2</v>
      </c>
      <c r="Z5" s="50">
        <f t="shared" si="0"/>
        <v>3599.1000000000004</v>
      </c>
      <c r="AA5" s="50">
        <f t="shared" si="0"/>
        <v>6811.2000000000007</v>
      </c>
      <c r="AB5" s="50">
        <f t="shared" si="0"/>
        <v>4877.4000000000005</v>
      </c>
      <c r="AC5" s="50">
        <f t="shared" si="0"/>
        <v>5965.7</v>
      </c>
      <c r="AD5" s="50">
        <f t="shared" si="0"/>
        <v>4979.04</v>
      </c>
      <c r="AE5" s="50">
        <f t="shared" si="0"/>
        <v>4019.4</v>
      </c>
      <c r="AF5" s="50">
        <f t="shared" si="0"/>
        <v>6325.8</v>
      </c>
      <c r="AG5" s="50">
        <f t="shared" si="0"/>
        <v>5141.5</v>
      </c>
      <c r="AH5" s="50">
        <f t="shared" si="0"/>
        <v>5394.84</v>
      </c>
      <c r="AI5" s="50">
        <f t="shared" si="0"/>
        <v>2978.1000000000004</v>
      </c>
      <c r="AJ5" s="50">
        <f t="shared" si="0"/>
        <v>6333.6</v>
      </c>
      <c r="AK5" s="50">
        <f t="shared" si="0"/>
        <v>5636.4000000000005</v>
      </c>
      <c r="AL5" s="50">
        <f t="shared" ref="AL5:BM5" si="1">IF(AL3=1,AL4*1.3,IF(AL3=2,AL4*1.32,AL4*1.35))</f>
        <v>3989.2500000000005</v>
      </c>
      <c r="AM5" s="50">
        <f t="shared" si="1"/>
        <v>3921.7200000000003</v>
      </c>
      <c r="AN5" s="50">
        <f t="shared" si="1"/>
        <v>3134.7000000000003</v>
      </c>
      <c r="AO5" s="50">
        <f t="shared" si="1"/>
        <v>6035.9000000000005</v>
      </c>
      <c r="AP5" s="50">
        <f t="shared" si="1"/>
        <v>6241.3</v>
      </c>
      <c r="AQ5" s="50">
        <f t="shared" si="1"/>
        <v>4090.6800000000003</v>
      </c>
      <c r="AR5" s="50">
        <f t="shared" si="1"/>
        <v>5658.84</v>
      </c>
      <c r="AS5" s="50">
        <f t="shared" si="1"/>
        <v>2138.4</v>
      </c>
      <c r="AT5" s="50">
        <f t="shared" si="1"/>
        <v>3244.05</v>
      </c>
      <c r="AU5" s="50">
        <f t="shared" si="1"/>
        <v>3797.55</v>
      </c>
      <c r="AV5" s="50">
        <f t="shared" si="1"/>
        <v>5475.3600000000006</v>
      </c>
      <c r="AW5" s="50">
        <f t="shared" si="1"/>
        <v>4799.25</v>
      </c>
      <c r="AX5" s="50">
        <f t="shared" si="1"/>
        <v>3503.2500000000005</v>
      </c>
      <c r="AY5" s="50">
        <f t="shared" si="1"/>
        <v>2614.9500000000003</v>
      </c>
      <c r="AZ5" s="50">
        <f t="shared" si="1"/>
        <v>4761.24</v>
      </c>
      <c r="BA5" s="50">
        <f t="shared" si="1"/>
        <v>5682.3</v>
      </c>
      <c r="BB5" s="50">
        <f t="shared" si="1"/>
        <v>4432.5600000000004</v>
      </c>
      <c r="BC5" s="50">
        <f t="shared" si="1"/>
        <v>5781.1</v>
      </c>
      <c r="BD5" s="50">
        <f t="shared" si="1"/>
        <v>4027.32</v>
      </c>
      <c r="BE5" s="50">
        <f t="shared" si="1"/>
        <v>5509.68</v>
      </c>
      <c r="BF5" s="50">
        <f t="shared" si="1"/>
        <v>6402</v>
      </c>
      <c r="BG5" s="50">
        <f t="shared" si="1"/>
        <v>5891.16</v>
      </c>
      <c r="BH5" s="50">
        <f t="shared" si="1"/>
        <v>6154.2</v>
      </c>
      <c r="BI5" s="50">
        <f t="shared" si="1"/>
        <v>4066.2000000000003</v>
      </c>
      <c r="BJ5" s="50">
        <f t="shared" si="1"/>
        <v>1830.6000000000001</v>
      </c>
      <c r="BK5" s="50">
        <f t="shared" si="1"/>
        <v>3734.1000000000004</v>
      </c>
      <c r="BL5" s="50">
        <f t="shared" si="1"/>
        <v>4893.24</v>
      </c>
      <c r="BM5" s="50">
        <f t="shared" si="1"/>
        <v>5664.12</v>
      </c>
    </row>
    <row r="6" spans="2:65" x14ac:dyDescent="0.3">
      <c r="B6" s="415"/>
      <c r="C6" s="2" t="s">
        <v>158</v>
      </c>
      <c r="D6" s="50">
        <f>IF(D$3=1,D$4*1.038,IF(D$3=2,D$4*1.0405,D$4*1.0435))</f>
        <v>4559.9340000000002</v>
      </c>
      <c r="E6" s="50">
        <f>IF(E$3=1,E$4*1.038,IF(E$3=2,E$4*1.0405,E$4*1.0435))</f>
        <v>3039.7155000000002</v>
      </c>
      <c r="F6" s="50">
        <f>IF(F$3=1,F$4*1.038,IF(F$3=2,F$4*1.0405,F$4*1.0435))</f>
        <v>4254.6045000000004</v>
      </c>
      <c r="G6" s="50">
        <f>IF(G$3=1,G$4*1.038,IF(G$3=2,G$4*1.0405,G$4*1.0435))</f>
        <v>4385.7074999999995</v>
      </c>
      <c r="H6" s="50">
        <f>IF(H$3=1,H$4*1.038,IF(H$3=2,H$4*1.0405,H$4*1.0435))</f>
        <v>3553.3074999999999</v>
      </c>
      <c r="I6" s="50">
        <f t="shared" ref="I6:AE6" si="2">IF(I$3=1,I$4*1.038,IF(I$3=2,I$4*1.0405,I$4*1.0435))</f>
        <v>4332.6419999999998</v>
      </c>
      <c r="J6" s="50">
        <f t="shared" si="2"/>
        <v>4657.2780000000002</v>
      </c>
      <c r="K6" s="50">
        <f t="shared" si="2"/>
        <v>4581.3215</v>
      </c>
      <c r="L6" s="50">
        <f t="shared" si="2"/>
        <v>1979.5195000000001</v>
      </c>
      <c r="M6" s="50">
        <f t="shared" si="2"/>
        <v>3079.3685000000005</v>
      </c>
      <c r="N6" s="50">
        <f t="shared" si="2"/>
        <v>4092.2864999999997</v>
      </c>
      <c r="O6" s="50">
        <f t="shared" si="2"/>
        <v>3301.5065</v>
      </c>
      <c r="P6" s="50">
        <f t="shared" si="2"/>
        <v>3935.058</v>
      </c>
      <c r="Q6" s="50">
        <f t="shared" si="2"/>
        <v>4431.4894999999997</v>
      </c>
      <c r="R6" s="50">
        <f t="shared" si="2"/>
        <v>4150.5545000000002</v>
      </c>
      <c r="S6" s="50">
        <f t="shared" si="2"/>
        <v>3931.009</v>
      </c>
      <c r="T6" s="50">
        <f t="shared" si="2"/>
        <v>3031.3675000000003</v>
      </c>
      <c r="U6" s="50">
        <f t="shared" si="2"/>
        <v>2596.2280000000001</v>
      </c>
      <c r="V6" s="50">
        <f t="shared" si="2"/>
        <v>4502.2434999999996</v>
      </c>
      <c r="W6" s="50">
        <f t="shared" si="2"/>
        <v>4355.5330000000004</v>
      </c>
      <c r="X6" s="50">
        <f t="shared" si="2"/>
        <v>3363.9364999999998</v>
      </c>
      <c r="Y6" s="50">
        <f t="shared" si="2"/>
        <v>4374.1320000000005</v>
      </c>
      <c r="Z6" s="50">
        <f t="shared" si="2"/>
        <v>2781.9710000000005</v>
      </c>
      <c r="AA6" s="50">
        <f t="shared" si="2"/>
        <v>5368.98</v>
      </c>
      <c r="AB6" s="50">
        <f t="shared" si="2"/>
        <v>3844.6475</v>
      </c>
      <c r="AC6" s="50">
        <f t="shared" si="2"/>
        <v>4763.3820000000005</v>
      </c>
      <c r="AD6" s="50">
        <f t="shared" si="2"/>
        <v>3924.7660000000001</v>
      </c>
      <c r="AE6" s="50">
        <f t="shared" si="2"/>
        <v>3168.3224999999998</v>
      </c>
      <c r="AF6" s="50">
        <f>IF(AF$3=1,AF$4*1.038,IF(AF$3=2,AF$4*1.0405,AF$4*1.0435))</f>
        <v>5050.9080000000004</v>
      </c>
      <c r="AG6" s="50">
        <f>IF(AG$3=1,AG$4*1.038,IF(AG$3=2,AG$4*1.0405,AG$4*1.0435))</f>
        <v>4105.29</v>
      </c>
      <c r="AH6" s="50">
        <f>IF(AH$3=1,AH$4*1.038,IF(AH$3=2,AH$4*1.0405,AH$4*1.0435))</f>
        <v>4252.5235000000002</v>
      </c>
      <c r="AI6" s="50">
        <f>IF(AI$3=1,AI$4*1.038,IF(AI$3=2,AI$4*1.0405,AI$4*1.0435))</f>
        <v>2301.9610000000002</v>
      </c>
      <c r="AJ6" s="50">
        <f>IF(AJ$3=1,AJ$4*1.038,IF(AJ$3=2,AJ$4*1.0405,AJ$4*1.0435))</f>
        <v>5057.1360000000004</v>
      </c>
      <c r="AK6" s="50">
        <f t="shared" ref="AK6:BM6" si="3">IF(AK$3=1,AK$4*1.038,IF(AK$3=2,AK$4*1.0405,AK$4*1.0435))</f>
        <v>4442.9349999999995</v>
      </c>
      <c r="AL6" s="50">
        <f t="shared" si="3"/>
        <v>3083.5425000000005</v>
      </c>
      <c r="AM6" s="50">
        <f t="shared" si="3"/>
        <v>3091.3254999999999</v>
      </c>
      <c r="AN6" s="50">
        <f t="shared" si="3"/>
        <v>2423.0070000000001</v>
      </c>
      <c r="AO6" s="50">
        <f t="shared" si="3"/>
        <v>4819.4340000000002</v>
      </c>
      <c r="AP6" s="50">
        <f t="shared" si="3"/>
        <v>4983.4380000000001</v>
      </c>
      <c r="AQ6" s="50">
        <f t="shared" si="3"/>
        <v>3224.5095000000001</v>
      </c>
      <c r="AR6" s="50">
        <f t="shared" si="3"/>
        <v>4460.6234999999997</v>
      </c>
      <c r="AS6" s="50">
        <f t="shared" si="3"/>
        <v>1652.9040000000002</v>
      </c>
      <c r="AT6" s="50">
        <f t="shared" si="3"/>
        <v>2507.5305000000003</v>
      </c>
      <c r="AU6" s="50">
        <f t="shared" si="3"/>
        <v>2935.3655000000003</v>
      </c>
      <c r="AV6" s="50">
        <f t="shared" si="3"/>
        <v>4315.9939999999997</v>
      </c>
      <c r="AW6" s="50">
        <f t="shared" si="3"/>
        <v>3709.6425000000004</v>
      </c>
      <c r="AX6" s="50">
        <f t="shared" si="3"/>
        <v>2707.8825000000002</v>
      </c>
      <c r="AY6" s="50">
        <f t="shared" si="3"/>
        <v>2021.2595000000001</v>
      </c>
      <c r="AZ6" s="50">
        <f t="shared" si="3"/>
        <v>3753.0834999999997</v>
      </c>
      <c r="BA6" s="50">
        <f t="shared" si="3"/>
        <v>4537.098</v>
      </c>
      <c r="BB6" s="50">
        <f t="shared" si="3"/>
        <v>3493.9989999999998</v>
      </c>
      <c r="BC6" s="50">
        <f t="shared" si="3"/>
        <v>4615.9859999999999</v>
      </c>
      <c r="BD6" s="50">
        <f t="shared" si="3"/>
        <v>3174.5655000000002</v>
      </c>
      <c r="BE6" s="50">
        <f t="shared" si="3"/>
        <v>4343.0469999999996</v>
      </c>
      <c r="BF6" s="50">
        <f t="shared" si="3"/>
        <v>5046.4250000000002</v>
      </c>
      <c r="BG6" s="50">
        <f t="shared" si="3"/>
        <v>4643.7515000000003</v>
      </c>
      <c r="BH6" s="50">
        <f t="shared" si="3"/>
        <v>4913.8919999999998</v>
      </c>
      <c r="BI6" s="50">
        <f t="shared" si="3"/>
        <v>3143.0220000000004</v>
      </c>
      <c r="BJ6" s="50">
        <f t="shared" si="3"/>
        <v>1414.9860000000001</v>
      </c>
      <c r="BK6" s="50">
        <f t="shared" si="3"/>
        <v>2886.3210000000004</v>
      </c>
      <c r="BL6" s="50">
        <f t="shared" si="3"/>
        <v>3857.1334999999999</v>
      </c>
      <c r="BM6" s="50">
        <f t="shared" si="3"/>
        <v>4464.7855</v>
      </c>
    </row>
    <row r="7" spans="2:65" x14ac:dyDescent="0.3">
      <c r="B7" s="416" t="s">
        <v>156</v>
      </c>
      <c r="C7" s="1" t="s">
        <v>157</v>
      </c>
      <c r="D7" s="50">
        <f>IF(D$3=1,D$4*2.7,IF(D$3=2,D$4*2.85,D$4*3.05))</f>
        <v>11861.1</v>
      </c>
      <c r="E7" s="50">
        <f t="shared" ref="E7:BM7" si="4">IF(E$3=1,E$4*2.7,IF(E$3=2,E$4*2.85,E$4*3.05))</f>
        <v>8884.65</v>
      </c>
      <c r="F7" s="50">
        <f t="shared" si="4"/>
        <v>11653.65</v>
      </c>
      <c r="G7" s="50">
        <f t="shared" si="4"/>
        <v>12012.75</v>
      </c>
      <c r="H7" s="50">
        <f t="shared" si="4"/>
        <v>9732.75</v>
      </c>
      <c r="I7" s="50">
        <f t="shared" si="4"/>
        <v>11867.4</v>
      </c>
      <c r="J7" s="50">
        <f t="shared" si="4"/>
        <v>12756.6</v>
      </c>
      <c r="K7" s="50">
        <f t="shared" si="4"/>
        <v>12548.550000000001</v>
      </c>
      <c r="L7" s="50">
        <f t="shared" si="4"/>
        <v>5785.8499999999995</v>
      </c>
      <c r="M7" s="50">
        <f t="shared" si="4"/>
        <v>9000.5499999999993</v>
      </c>
      <c r="N7" s="50">
        <f t="shared" si="4"/>
        <v>11209.050000000001</v>
      </c>
      <c r="O7" s="50">
        <f t="shared" si="4"/>
        <v>9043.0500000000011</v>
      </c>
      <c r="P7" s="50">
        <f t="shared" si="4"/>
        <v>10235.700000000001</v>
      </c>
      <c r="Q7" s="50">
        <f t="shared" si="4"/>
        <v>12138.15</v>
      </c>
      <c r="R7" s="50">
        <f t="shared" si="4"/>
        <v>11368.65</v>
      </c>
      <c r="S7" s="50">
        <f t="shared" si="4"/>
        <v>10767.300000000001</v>
      </c>
      <c r="T7" s="50">
        <f t="shared" si="4"/>
        <v>8860.25</v>
      </c>
      <c r="U7" s="50">
        <f t="shared" si="4"/>
        <v>7588.4</v>
      </c>
      <c r="V7" s="50">
        <f t="shared" si="4"/>
        <v>12331.95</v>
      </c>
      <c r="W7" s="50">
        <f t="shared" si="4"/>
        <v>11930.1</v>
      </c>
      <c r="X7" s="50">
        <f t="shared" si="4"/>
        <v>9214.0500000000011</v>
      </c>
      <c r="Y7" s="50">
        <f t="shared" si="4"/>
        <v>11377.800000000001</v>
      </c>
      <c r="Z7" s="50">
        <f t="shared" si="4"/>
        <v>8131.2999999999993</v>
      </c>
      <c r="AA7" s="50">
        <f t="shared" si="4"/>
        <v>14706</v>
      </c>
      <c r="AB7" s="50">
        <f t="shared" si="4"/>
        <v>10530.75</v>
      </c>
      <c r="AC7" s="50">
        <f t="shared" si="4"/>
        <v>12390.300000000001</v>
      </c>
      <c r="AD7" s="50">
        <f t="shared" si="4"/>
        <v>10750.2</v>
      </c>
      <c r="AE7" s="50">
        <f t="shared" si="4"/>
        <v>8678.25</v>
      </c>
      <c r="AF7" s="50">
        <f>IF(AF$3=1,AF$4*2.7,IF(AF$3=2,AF$4*2.85,AF$4*3.05))</f>
        <v>13138.2</v>
      </c>
      <c r="AG7" s="50">
        <f t="shared" si="4"/>
        <v>10678.5</v>
      </c>
      <c r="AH7" s="50">
        <f t="shared" si="4"/>
        <v>11647.95</v>
      </c>
      <c r="AI7" s="50">
        <f t="shared" si="4"/>
        <v>6728.2999999999993</v>
      </c>
      <c r="AJ7" s="50">
        <f t="shared" si="4"/>
        <v>13154.400000000001</v>
      </c>
      <c r="AK7" s="50">
        <f t="shared" si="4"/>
        <v>12169.5</v>
      </c>
      <c r="AL7" s="50">
        <f t="shared" si="4"/>
        <v>9012.75</v>
      </c>
      <c r="AM7" s="50">
        <f t="shared" si="4"/>
        <v>8467.35</v>
      </c>
      <c r="AN7" s="50">
        <f t="shared" si="4"/>
        <v>7082.0999999999995</v>
      </c>
      <c r="AO7" s="50">
        <f>IF(AO$3=1,AO$4*2.7,IF(AO$3=2,AO$4*2.85,AO$4*3.05))</f>
        <v>12536.1</v>
      </c>
      <c r="AP7" s="50">
        <f t="shared" si="4"/>
        <v>12962.7</v>
      </c>
      <c r="AQ7" s="50">
        <f t="shared" si="4"/>
        <v>8832.15</v>
      </c>
      <c r="AR7" s="50">
        <f t="shared" si="4"/>
        <v>12217.95</v>
      </c>
      <c r="AS7" s="50">
        <f t="shared" si="4"/>
        <v>4831.2</v>
      </c>
      <c r="AT7" s="50">
        <f t="shared" si="4"/>
        <v>7329.15</v>
      </c>
      <c r="AU7" s="50">
        <f t="shared" si="4"/>
        <v>8579.65</v>
      </c>
      <c r="AV7" s="50">
        <f t="shared" si="4"/>
        <v>11821.800000000001</v>
      </c>
      <c r="AW7" s="50">
        <f t="shared" si="4"/>
        <v>10842.75</v>
      </c>
      <c r="AX7" s="50">
        <f t="shared" si="4"/>
        <v>7914.7499999999991</v>
      </c>
      <c r="AY7" s="50">
        <f t="shared" si="4"/>
        <v>5907.8499999999995</v>
      </c>
      <c r="AZ7" s="50">
        <f t="shared" si="4"/>
        <v>10279.950000000001</v>
      </c>
      <c r="BA7" s="50">
        <f t="shared" si="4"/>
        <v>11801.7</v>
      </c>
      <c r="BB7" s="50">
        <f t="shared" si="4"/>
        <v>9570.3000000000011</v>
      </c>
      <c r="BC7" s="50">
        <f t="shared" si="4"/>
        <v>12006.900000000001</v>
      </c>
      <c r="BD7" s="50">
        <f t="shared" si="4"/>
        <v>8695.35</v>
      </c>
      <c r="BE7" s="50">
        <f t="shared" si="4"/>
        <v>11895.9</v>
      </c>
      <c r="BF7" s="50">
        <f t="shared" si="4"/>
        <v>13822.5</v>
      </c>
      <c r="BG7" s="50">
        <f t="shared" si="4"/>
        <v>12719.550000000001</v>
      </c>
      <c r="BH7" s="50">
        <f t="shared" si="4"/>
        <v>12781.800000000001</v>
      </c>
      <c r="BI7" s="50">
        <f t="shared" si="4"/>
        <v>9186.6</v>
      </c>
      <c r="BJ7" s="50">
        <f t="shared" si="4"/>
        <v>4135.8</v>
      </c>
      <c r="BK7" s="50">
        <f t="shared" si="4"/>
        <v>8436.2999999999993</v>
      </c>
      <c r="BL7" s="50">
        <f t="shared" si="4"/>
        <v>10564.95</v>
      </c>
      <c r="BM7" s="50">
        <f t="shared" si="4"/>
        <v>12229.35</v>
      </c>
    </row>
    <row r="8" spans="2:65" x14ac:dyDescent="0.3">
      <c r="B8" s="416"/>
      <c r="C8" s="2" t="s">
        <v>158</v>
      </c>
      <c r="D8" s="50">
        <f>IF(D$3=1,D$4*1.36,IF(D$3=2,D$4*1.39,D$4*1.42))</f>
        <v>5974.4800000000005</v>
      </c>
      <c r="E8" s="50">
        <f t="shared" ref="E8:BM8" si="5">IF(E$3=1,E$4*1.36,IF(E$3=2,E$4*1.39,E$4*1.42))</f>
        <v>4136.46</v>
      </c>
      <c r="F8" s="50">
        <f t="shared" si="5"/>
        <v>5683.71</v>
      </c>
      <c r="G8" s="50">
        <f t="shared" si="5"/>
        <v>5858.8499999999995</v>
      </c>
      <c r="H8" s="50">
        <f t="shared" si="5"/>
        <v>4746.8499999999995</v>
      </c>
      <c r="I8" s="50">
        <f t="shared" si="5"/>
        <v>5787.96</v>
      </c>
      <c r="J8" s="50">
        <f t="shared" si="5"/>
        <v>6221.6399999999994</v>
      </c>
      <c r="K8" s="50">
        <f t="shared" si="5"/>
        <v>6120.1699999999992</v>
      </c>
      <c r="L8" s="50">
        <f t="shared" si="5"/>
        <v>2693.74</v>
      </c>
      <c r="M8" s="50">
        <f t="shared" si="5"/>
        <v>4190.42</v>
      </c>
      <c r="N8" s="50">
        <f t="shared" si="5"/>
        <v>5466.87</v>
      </c>
      <c r="O8" s="50">
        <f t="shared" si="5"/>
        <v>4410.4699999999993</v>
      </c>
      <c r="P8" s="50">
        <f t="shared" si="5"/>
        <v>5155.76</v>
      </c>
      <c r="Q8" s="50">
        <f t="shared" si="5"/>
        <v>5920.0099999999993</v>
      </c>
      <c r="R8" s="50">
        <f t="shared" si="5"/>
        <v>5544.71</v>
      </c>
      <c r="S8" s="50">
        <f t="shared" si="5"/>
        <v>5251.42</v>
      </c>
      <c r="T8" s="50">
        <f t="shared" si="5"/>
        <v>4125.0999999999995</v>
      </c>
      <c r="U8" s="50">
        <f t="shared" si="5"/>
        <v>3532.96</v>
      </c>
      <c r="V8" s="50">
        <f t="shared" si="5"/>
        <v>6014.53</v>
      </c>
      <c r="W8" s="50">
        <f t="shared" si="5"/>
        <v>5818.54</v>
      </c>
      <c r="X8" s="50">
        <f t="shared" si="5"/>
        <v>4493.87</v>
      </c>
      <c r="Y8" s="50">
        <f t="shared" si="5"/>
        <v>5731.04</v>
      </c>
      <c r="Z8" s="50">
        <f t="shared" si="5"/>
        <v>3785.72</v>
      </c>
      <c r="AA8" s="50">
        <f t="shared" si="5"/>
        <v>7172.4</v>
      </c>
      <c r="AB8" s="50">
        <f t="shared" si="5"/>
        <v>5136.0499999999993</v>
      </c>
      <c r="AC8" s="50">
        <f t="shared" si="5"/>
        <v>6241.0400000000009</v>
      </c>
      <c r="AD8" s="50">
        <f t="shared" si="5"/>
        <v>5243.08</v>
      </c>
      <c r="AE8" s="50">
        <f t="shared" si="5"/>
        <v>4232.5499999999993</v>
      </c>
      <c r="AF8" s="50">
        <f>IF(AF$3=1,AF$4*1.36,IF(AF$3=2,AF$4*1.39,AF$4*1.42))</f>
        <v>6617.76</v>
      </c>
      <c r="AG8" s="50">
        <f t="shared" si="5"/>
        <v>5378.8</v>
      </c>
      <c r="AH8" s="50">
        <f t="shared" si="5"/>
        <v>5680.9299999999994</v>
      </c>
      <c r="AI8" s="50">
        <f t="shared" si="5"/>
        <v>3132.52</v>
      </c>
      <c r="AJ8" s="50">
        <f t="shared" si="5"/>
        <v>6625.92</v>
      </c>
      <c r="AK8" s="50">
        <f t="shared" si="5"/>
        <v>5935.2999999999993</v>
      </c>
      <c r="AL8" s="50">
        <f t="shared" si="5"/>
        <v>4196.0999999999995</v>
      </c>
      <c r="AM8" s="50">
        <f t="shared" si="5"/>
        <v>4129.6899999999996</v>
      </c>
      <c r="AN8" s="50">
        <f t="shared" si="5"/>
        <v>3297.24</v>
      </c>
      <c r="AO8" s="50">
        <f>IF(AO$3=1,AO$4*1.36,IF(AO$3=2,AO$4*1.39,AO$4*1.42))</f>
        <v>6314.4800000000005</v>
      </c>
      <c r="AP8" s="50">
        <f t="shared" si="5"/>
        <v>6529.3600000000006</v>
      </c>
      <c r="AQ8" s="50">
        <f t="shared" si="5"/>
        <v>4307.6099999999997</v>
      </c>
      <c r="AR8" s="50">
        <f>IF(AR$3=1,AR$4*1.36,IF(AR$3=2,AR$4*1.39,AR$4*1.42))</f>
        <v>5958.9299999999994</v>
      </c>
      <c r="AS8" s="50">
        <f t="shared" si="5"/>
        <v>2249.2799999999997</v>
      </c>
      <c r="AT8" s="50">
        <f t="shared" si="5"/>
        <v>3412.2599999999998</v>
      </c>
      <c r="AU8" s="50">
        <f t="shared" si="5"/>
        <v>3994.4599999999996</v>
      </c>
      <c r="AV8" s="50">
        <f t="shared" si="5"/>
        <v>5765.7199999999993</v>
      </c>
      <c r="AW8" s="50">
        <f t="shared" si="5"/>
        <v>5048.0999999999995</v>
      </c>
      <c r="AX8" s="50">
        <f t="shared" si="5"/>
        <v>3684.8999999999996</v>
      </c>
      <c r="AY8" s="50">
        <f t="shared" si="5"/>
        <v>2750.54</v>
      </c>
      <c r="AZ8" s="50">
        <f t="shared" si="5"/>
        <v>5013.7299999999996</v>
      </c>
      <c r="BA8" s="50">
        <f t="shared" si="5"/>
        <v>5944.56</v>
      </c>
      <c r="BB8" s="50">
        <f t="shared" si="5"/>
        <v>4667.62</v>
      </c>
      <c r="BC8" s="50">
        <f>IF(BC$3=1,BC$4*1.36,IF(BC$3=2,BC$4*1.39,BC$4*1.42))</f>
        <v>6047.92</v>
      </c>
      <c r="BD8" s="50">
        <f t="shared" si="5"/>
        <v>4240.8899999999994</v>
      </c>
      <c r="BE8" s="50">
        <f t="shared" si="5"/>
        <v>5801.86</v>
      </c>
      <c r="BF8" s="50">
        <f t="shared" si="5"/>
        <v>6741.4999999999991</v>
      </c>
      <c r="BG8" s="50">
        <f t="shared" si="5"/>
        <v>6203.57</v>
      </c>
      <c r="BH8" s="50">
        <f t="shared" si="5"/>
        <v>6438.2400000000007</v>
      </c>
      <c r="BI8" s="50">
        <f t="shared" si="5"/>
        <v>4277.04</v>
      </c>
      <c r="BJ8" s="50">
        <f t="shared" si="5"/>
        <v>1925.52</v>
      </c>
      <c r="BK8" s="50">
        <f t="shared" si="5"/>
        <v>3927.72</v>
      </c>
      <c r="BL8" s="50">
        <f t="shared" si="5"/>
        <v>5152.7299999999996</v>
      </c>
      <c r="BM8" s="50">
        <f t="shared" si="5"/>
        <v>5964.49</v>
      </c>
    </row>
    <row r="11" spans="2:65" ht="16.8" thickBot="1" x14ac:dyDescent="0.35">
      <c r="AM11" s="417" t="s">
        <v>262</v>
      </c>
      <c r="AN11" s="418"/>
      <c r="AO11" s="418"/>
      <c r="AP11" s="418"/>
      <c r="AQ11" s="418"/>
      <c r="AR11" s="418"/>
    </row>
    <row r="12" spans="2:65" ht="54" thickTop="1" thickBot="1" x14ac:dyDescent="0.35">
      <c r="M12">
        <f>(1-((57-'Saisie immeuble'!C11)/100))</f>
        <v>0.43000000000000005</v>
      </c>
      <c r="R12" s="408" t="s">
        <v>170</v>
      </c>
      <c r="S12" s="409"/>
      <c r="T12" s="409"/>
      <c r="U12" s="409"/>
      <c r="V12" s="409"/>
      <c r="W12" s="409"/>
      <c r="X12" s="410"/>
      <c r="Y12" s="411" t="s">
        <v>171</v>
      </c>
      <c r="Z12" s="412"/>
      <c r="AA12" s="412"/>
      <c r="AB12" s="412"/>
      <c r="AC12" s="413"/>
      <c r="AD12" s="61"/>
      <c r="AM12" s="78" t="s">
        <v>57</v>
      </c>
      <c r="AN12" s="79" t="s">
        <v>50</v>
      </c>
      <c r="AO12" s="79" t="s">
        <v>51</v>
      </c>
      <c r="AP12" s="79" t="s">
        <v>52</v>
      </c>
      <c r="AQ12" s="79" t="s">
        <v>53</v>
      </c>
      <c r="AR12" s="80" t="s">
        <v>54</v>
      </c>
      <c r="AT12" s="405" t="s">
        <v>212</v>
      </c>
      <c r="AU12" s="406"/>
      <c r="AV12" s="406"/>
      <c r="AW12" s="406"/>
      <c r="AX12" s="407"/>
    </row>
    <row r="13" spans="2:65" s="45" customFormat="1" ht="48.75" customHeight="1" thickTop="1" thickBot="1" x14ac:dyDescent="0.35">
      <c r="C13" s="70" t="s">
        <v>232</v>
      </c>
      <c r="D13" s="68" t="s">
        <v>161</v>
      </c>
      <c r="E13" s="68" t="s">
        <v>249</v>
      </c>
      <c r="F13" s="68" t="s">
        <v>250</v>
      </c>
      <c r="G13" s="68" t="s">
        <v>160</v>
      </c>
      <c r="H13" s="68" t="s">
        <v>251</v>
      </c>
      <c r="I13" s="68" t="s">
        <v>252</v>
      </c>
      <c r="J13" s="68" t="s">
        <v>253</v>
      </c>
      <c r="K13" s="68" t="s">
        <v>270</v>
      </c>
      <c r="L13" s="68" t="s">
        <v>167</v>
      </c>
      <c r="M13" s="116" t="s">
        <v>335</v>
      </c>
      <c r="N13" s="68" t="s">
        <v>274</v>
      </c>
      <c r="O13" s="68" t="s">
        <v>275</v>
      </c>
      <c r="P13" s="68" t="s">
        <v>254</v>
      </c>
      <c r="Q13" s="69" t="s">
        <v>169</v>
      </c>
      <c r="R13" s="56" t="s">
        <v>211</v>
      </c>
      <c r="S13" s="55" t="s">
        <v>212</v>
      </c>
      <c r="T13" s="55" t="s">
        <v>41</v>
      </c>
      <c r="U13" s="55" t="s">
        <v>39</v>
      </c>
      <c r="V13" s="55" t="s">
        <v>215</v>
      </c>
      <c r="W13" s="55"/>
      <c r="X13" s="59" t="s">
        <v>219</v>
      </c>
      <c r="Y13" s="60" t="s">
        <v>255</v>
      </c>
      <c r="Z13" s="53" t="s">
        <v>46</v>
      </c>
      <c r="AA13" s="54" t="s">
        <v>39</v>
      </c>
      <c r="AB13" s="54" t="s">
        <v>40</v>
      </c>
      <c r="AC13" s="57" t="s">
        <v>220</v>
      </c>
      <c r="AD13" s="113" t="s">
        <v>269</v>
      </c>
      <c r="AE13" s="114"/>
      <c r="AF13" s="115"/>
      <c r="AG13" s="72" t="s">
        <v>213</v>
      </c>
      <c r="AH13" s="73" t="s">
        <v>217</v>
      </c>
      <c r="AI13" s="74" t="s">
        <v>213</v>
      </c>
      <c r="AJ13" s="75" t="s">
        <v>256</v>
      </c>
      <c r="AK13" s="76" t="s">
        <v>210</v>
      </c>
      <c r="AL13" s="77" t="s">
        <v>257</v>
      </c>
      <c r="AM13" s="63">
        <v>13</v>
      </c>
      <c r="AN13" s="64">
        <v>5</v>
      </c>
      <c r="AO13" s="64">
        <v>7</v>
      </c>
      <c r="AP13" s="64">
        <v>7</v>
      </c>
      <c r="AQ13" s="64">
        <v>7</v>
      </c>
      <c r="AR13" s="64">
        <f>SUM(AM13:AQ13)</f>
        <v>39</v>
      </c>
      <c r="AS13" s="67" t="s">
        <v>49</v>
      </c>
      <c r="AT13" s="81" t="s">
        <v>258</v>
      </c>
      <c r="AU13" s="82" t="s">
        <v>59</v>
      </c>
      <c r="AV13" s="82" t="s">
        <v>259</v>
      </c>
      <c r="AW13" s="82" t="s">
        <v>260</v>
      </c>
      <c r="AX13" s="83" t="s">
        <v>261</v>
      </c>
    </row>
    <row r="14" spans="2:65" ht="15" thickTop="1" x14ac:dyDescent="0.3">
      <c r="B14" s="71" t="s">
        <v>1</v>
      </c>
      <c r="C14" s="1">
        <f>IF('Saisie immeuble'!D11=Feuil1!$B$4,4,IF(AND('Saisie immeuble'!D11=$B$5,('Saisie immeuble'!$C$4=Feuil1!$C$5)),5,IF(AND('Saisie immeuble'!D11=$B$5,('Saisie immeuble'!$C$4=Feuil1!$C$6)),6,IF(AND('Saisie immeuble'!D11=Feuil1!$B$7,('Saisie immeuble'!$C$4=Feuil1!$C$7)),7,IF(AND('Saisie immeuble'!D11=Feuil1!$B$7,('Saisie immeuble'!$C$4=Feuil1!$C$8)),8,0)))))</f>
        <v>0</v>
      </c>
      <c r="D14" s="90" t="e">
        <f>HLOOKUP('Saisie immeuble'!$C$3,Feuil1!$D$1:$BM$8,Feuil1!C14,FALSE)</f>
        <v>#N/A</v>
      </c>
      <c r="E14" s="1" t="e">
        <f>HLOOKUP('Saisie immeuble'!$C$3,Feuil1!$D$1:$BM$8,3,FALSE)</f>
        <v>#N/A</v>
      </c>
      <c r="F14" s="1" t="e">
        <f>IF(E14=1,450+'Saisie immeuble'!C11*6,IF(E14=2,300+'Saisie immeuble'!C11*5,150+'Saisie immeuble'!C11*3))</f>
        <v>#N/A</v>
      </c>
      <c r="G14" s="1" t="e">
        <f>IF(E14=1,1400+'Saisie immeuble'!C11*6,IF(E14=2,1100+'Saisie immeuble'!C11*6,500+'Saisie immeuble'!C11*6))</f>
        <v>#N/A</v>
      </c>
      <c r="H14" s="90">
        <f>IF('Saisie immeuble'!$C$6="oui",IF('Saisie immeuble'!D11="dernier étage",IF(Feuil1!E14=1,0.4*Feuil1!D14,IF(Feuil1!E14=2,0.35*Feuil1!D14,IF(Feuil1!E14=3,0.3*Feuil1!D14,0))),0),0)</f>
        <v>0</v>
      </c>
      <c r="I14" s="90">
        <f>IF('Saisie immeuble'!$C$7="oui",IF(AND(Feuil1!E14=1,('Saisie immeuble'!$C$4=Feuil1!$C$5)),0.3*Feuil1!D14,IF(AND(Feuil1!E14=1,('Saisie immeuble'!$C$4=Feuil1!$C$6)),0.2*Feuil1!D14,IF(AND(Feuil1!E14=2,('Saisie immeuble'!$C$4=Feuil1!$C$5)),0.25*Feuil1!D14,IF(AND(Feuil1!E14=2,('Saisie immeuble'!$C$4=Feuil1!$C$6)),0.15*Feuil1!D14,IF(AND(Feuil1!E14=3,('Saisie immeuble'!$C$4=Feuil1!$C$5)),0.2*Feuil1!D14,IF(AND(Feuil1!E14=3,('Saisie immeuble'!$C$4=Feuil1!$C$6)),0.12*Feuil1!D14)))))),0)</f>
        <v>0</v>
      </c>
      <c r="J14" s="90">
        <f>IF('Saisie immeuble'!$C$8="oui",IF(AND(Feuil1!E14=1,('Saisie immeuble'!$C$4=Feuil1!$C$5)),0.22*Feuil1!D14,IF(AND(Feuil1!E14=1,('Saisie immeuble'!$C$4=Feuil1!$C$6)),0.14*Feuil1!D14,IF(AND(Feuil1!E14=2,('Saisie immeuble'!$C$4=Feuil1!$C$5)),0.2*Feuil1!D14,IF(AND(Feuil1!E14=2,('Saisie immeuble'!$C$4=Feuil1!$C$6)),0.12*Feuil1!D14,IF(AND(Feuil1!E14=3,('Saisie immeuble'!$C$4=Feuil1!$C$5)),0.16*Feuil1!D14,IF(AND(Feuil1!E14=3,('Saisie immeuble'!$C$4=Feuil1!$C$6)),0.1*Feuil1!D14)))))),0)</f>
        <v>0</v>
      </c>
      <c r="K14" s="90">
        <f>IF('Saisie immeuble'!$F$7="oui",IF('Saisie immeuble'!D11="rez de chaussée",IF(Feuil1!E14=1,0.2*Feuil1!D14,IF(Feuil1!E14=2,0.16*Feuil1!D14,IF(Feuil1!E14=3,0.12*Feuil1!D14,0))),0),0)</f>
        <v>0</v>
      </c>
      <c r="L14" s="1">
        <f>IF('Saisie immeuble'!C11&gt;0,IF('Saisie immeuble'!C11&gt;57,('Saisie immeuble'!C11-57)*55,('Saisie immeuble'!C11-57)*35),0)</f>
        <v>0</v>
      </c>
      <c r="M14" s="1">
        <f>IF('Saisie immeuble'!C11&gt;0,IF('Saisie immeuble'!$H$7=Feuil1!$B$78,IF(Feuil1!E14=1,700,IF(Feuil1!E14=2,550,400)),IF('Saisie immeuble'!$H$7=Feuil1!$B$79,IF(Feuil1!E14=1,350,IF(Feuil1!E14=2,275,200)),0))*(1-((57-'Saisie immeuble'!C11)/100)),0)</f>
        <v>0</v>
      </c>
      <c r="N14" s="90" t="e">
        <f>D14-IF('Saisie immeuble'!G11=Feuil1!$B$68,Feuil1!F14,IF('Saisie immeuble'!G11=Feuil1!$B$69,G14,0))-H14-I14-J14+L14-K14+M14</f>
        <v>#N/A</v>
      </c>
      <c r="O14" s="90" t="e">
        <f>N14*1.04</f>
        <v>#N/A</v>
      </c>
      <c r="P14" s="90" t="e">
        <f>IF('Saisie immeuble'!$C$5="individuel",N14/AJ14,O14/AJ14)</f>
        <v>#N/A</v>
      </c>
      <c r="Q14" s="99" t="e">
        <f>P14*AL14+IF(R14="gaz",AA14,0)</f>
        <v>#N/A</v>
      </c>
      <c r="R14" s="96" t="e">
        <f>VLOOKUP('Saisie immeuble'!E11,Feuil1!$G$58:$I$75,3,0)</f>
        <v>#N/A</v>
      </c>
      <c r="S14" s="85" t="e">
        <f>VLOOKUP('Saisie immeuble'!F11,Feuil1!$Q$57:$U$70,5,FALSE)</f>
        <v>#N/A</v>
      </c>
      <c r="T14" s="1" t="e">
        <f>IF(AND(R14&lt;&gt;"élec",(S14&lt;&gt;"élec"),('Saisie immeuble'!C11&lt;40)),'Référence&amp;tarifs'!$A$6,IF(AND(R14="élec",(S14="élec")),'Référence&amp;tarifs'!$A$8,'Référence&amp;tarifs'!$A$7))</f>
        <v>#N/A</v>
      </c>
      <c r="U14" s="1" t="e">
        <f>VLOOKUP(T14,'Référence&amp;tarifs'!$A$6:$C$10,2,FALSE)</f>
        <v>#N/A</v>
      </c>
      <c r="V14" s="1" t="e">
        <f>VLOOKUP(T14,'Référence&amp;tarifs'!$A$6:$C$10,3,FALSE)</f>
        <v>#N/A</v>
      </c>
      <c r="W14" s="1"/>
      <c r="X14" s="86" t="e">
        <f>IF('Résultat immeuble'!N5&lt;1.1,HLOOKUP(Feuil1!T14,'Référence&amp;tarifs'!#REF!,2,FALSE),IF('Résultat immeuble'!N5&gt;1.9,HLOOKUP(Feuil1!T14,'Référence&amp;tarifs'!#REF!,4,FALSE),HLOOKUP(Feuil1!T14,'Référence&amp;tarifs'!#REF!,3,FALSE)))</f>
        <v>#N/A</v>
      </c>
      <c r="Y14" s="52" t="e">
        <f>IF(R14="gaz",N14,0)+IF(S14="gaz",AT14,0)+IF('Saisie immeuble'!H11="gaz de ville",Feuil1!AH14,0)</f>
        <v>#N/A</v>
      </c>
      <c r="Z14" s="1" t="e">
        <f>IF(Y14&lt;1000,'Référence&amp;tarifs'!$A$16,IF(Y14&gt;5999,'Référence&amp;tarifs'!$A$18,'Référence&amp;tarifs'!$A$17))</f>
        <v>#N/A</v>
      </c>
      <c r="AA14" s="1" t="e">
        <f>VLOOKUP(Z14,'Référence&amp;tarifs'!$A$16:$C$18,2,FALSE)</f>
        <v>#N/A</v>
      </c>
      <c r="AB14" s="1" t="e">
        <f>VLOOKUP(Z14,'Référence&amp;tarifs'!$A$16:$C$18,3,FALSE)</f>
        <v>#N/A</v>
      </c>
      <c r="AC14" s="58" t="b">
        <f>IF('Saisie immeuble'!$C$5="individuel",IF('Résultat immeuble'!N5=1,HLOOKUP(Feuil1!Z14,'Référence&amp;tarifs'!#REF!,2,FALSE),IF('Résultat immeuble'!N5&gt;1.9,HLOOKUP(Feuil1!Z14,'Référence&amp;tarifs'!#REF!,4,FALSE),HLOOKUP(Feuil1!Z14,'Référence&amp;tarifs'!#REF!,3,FALSE))),IF('Saisie immeuble'!$C$5="collectif",IF('Résultat immeuble'!N5=1,'Référence&amp;tarifs'!#REF!,IF('Résultat immeuble'!N5&gt;1.9,'Référence&amp;tarifs'!#REF!,IF(AND('Résultat immeuble'!N5&lt;2,('Résultat immeuble'!N5&gt;1)),'Référence&amp;tarifs'!#REF!,0)))))</f>
        <v>0</v>
      </c>
      <c r="AD14" s="109">
        <f>IF('Saisie immeuble'!I11+'Saisie immeuble'!J11&gt;0,18*'Saisie immeuble'!C11+3.5*('Saisie immeuble'!I11+'Saisie immeuble'!J11-1)*'Saisie immeuble'!C11,0)</f>
        <v>0</v>
      </c>
      <c r="AE14" s="110"/>
      <c r="AF14" s="111"/>
      <c r="AG14" s="97" t="e">
        <f>AD14*V14+U14</f>
        <v>#N/A</v>
      </c>
      <c r="AH14" s="52">
        <f>IF('Saisie immeuble'!I11+'Saisie immeuble'!J11&gt;0,350+80*('Saisie immeuble'!I11+'Saisie immeuble'!J11-1),0)</f>
        <v>0</v>
      </c>
      <c r="AI14" s="97" t="e">
        <f>IF('Saisie immeuble'!H11="gaz de ville",Feuil1!AB14,IF('Saisie immeuble'!H11=$B$72,V14,0))*Feuil1!AH14+IF(AND(R14&lt;&gt;"gaz",(S14&lt;&gt;"gaz"),('Saisie immeuble'!H11="gaz de ville")),Feuil1!AA14,0)</f>
        <v>#N/A</v>
      </c>
      <c r="AJ14" s="52" t="e">
        <f>VLOOKUP('Saisie immeuble'!E11,Feuil1!$G$58:$I$75,2,FALSE)</f>
        <v>#N/A</v>
      </c>
      <c r="AK14" s="1" t="e">
        <f>VLOOKUP('Saisie immeuble'!E11,Feuil1!$G$58:$I$75,3,FALSE)</f>
        <v>#N/A</v>
      </c>
      <c r="AL14" s="98" t="e">
        <f>IF(AK14="élec",V14,IF(AK14="gaz",AB14,IF(AK14="fioul",'Référence&amp;tarifs'!$B$25,IF(AK14="bois buche",'Référence&amp;tarifs'!$B$23,IF(AK14="bois granulés",'Référence&amp;tarifs'!$B$24,IF(AK14=I58,0.8*('Référence&amp;tarifs'!$B$23+'Référence&amp;tarifs'!B16)/2+0.2*Feuil1!AB14,0))))))</f>
        <v>#N/A</v>
      </c>
      <c r="AM14" s="52">
        <f>IF('Saisie immeuble'!I11+'Saisie immeuble'!J11&gt;0,Feuil1!$AM$13+2*('Saisie immeuble'!I11+'Saisie immeuble'!J11-1),0)</f>
        <v>0</v>
      </c>
      <c r="AN14" s="1">
        <f>IF('Saisie immeuble'!I11+'Saisie immeuble'!J11&gt;0,Feuil1!$AN$13*('Saisie immeuble'!I11+'Saisie immeuble'!J11),0)</f>
        <v>0</v>
      </c>
      <c r="AO14" s="1">
        <f>IF('Saisie immeuble'!I11+'Saisie immeuble'!J11&gt;0,Feuil1!$AO$13+3*('Saisie immeuble'!I11+'Saisie immeuble'!J11-1),0)</f>
        <v>0</v>
      </c>
      <c r="AP14" s="1">
        <f>IF('Saisie immeuble'!I11+'Saisie immeuble'!J11&gt;0,Feuil1!$AP$13+2*('Saisie immeuble'!I11+'Saisie immeuble'!J11-1),0)</f>
        <v>0</v>
      </c>
      <c r="AQ14" s="1">
        <f>IF('Saisie immeuble'!I11+'Saisie immeuble'!J11&gt;0,Feuil1!$AQ$13*('Saisie immeuble'!I11+'Saisie immeuble'!J11),0)</f>
        <v>0</v>
      </c>
      <c r="AR14" s="1">
        <f>SUM(AM14:AQ14)</f>
        <v>0</v>
      </c>
      <c r="AS14" s="99" t="e">
        <f>AR14*'Saisie immeuble'!$F$8+IF(AND(R14&lt;&gt;"gaz",(S14="gaz")),AA14,0)</f>
        <v>#N/A</v>
      </c>
      <c r="AT14" s="52">
        <f>IF('Saisie immeuble'!I11+'Saisie immeuble'!J11&gt;0,1100+700*('Saisie immeuble'!I11+'Saisie immeuble'!J11-1),0)</f>
        <v>0</v>
      </c>
      <c r="AU14" s="3" t="e">
        <f>IF(AW14="élec",Feuil1!V14,IF(AW14="gaz",Feuil1!AB14,IF(AW14="fioul",'Référence&amp;tarifs'!$B$25,IF(AW14="bois",('Référence&amp;tarifs'!$B$23+'Référence&amp;tarifs'!$B$24)/2,0))))</f>
        <v>#N/A</v>
      </c>
      <c r="AV14" s="1" t="e">
        <f>VLOOKUP('Saisie immeuble'!F11,Feuil1!$Q$57:$U$70,4,FALSE)</f>
        <v>#N/A</v>
      </c>
      <c r="AW14" s="1" t="e">
        <f>VLOOKUP('Saisie immeuble'!F11,Feuil1!$Q$57:$U$70,5,FALSE)</f>
        <v>#N/A</v>
      </c>
      <c r="AX14" s="97" t="e">
        <f>(AT14/AV14)*AU14</f>
        <v>#N/A</v>
      </c>
    </row>
    <row r="15" spans="2:65" x14ac:dyDescent="0.3">
      <c r="B15" s="52" t="s">
        <v>2</v>
      </c>
      <c r="C15" s="1">
        <f>IF('Saisie immeuble'!D12=Feuil1!$B$4,4,IF(AND('Saisie immeuble'!D12=$B$5,('Saisie immeuble'!$C$4=Feuil1!$C$5)),5,IF(AND('Saisie immeuble'!D12=$B$5,('Saisie immeuble'!$C$4=Feuil1!$C$6)),6,IF(AND('Saisie immeuble'!D12=Feuil1!$B$7,('Saisie immeuble'!$C$4=Feuil1!$C$7)),7,IF(AND('Saisie immeuble'!D12=Feuil1!$B$7,('Saisie immeuble'!$C$4=Feuil1!$C$8)),8,0)))))</f>
        <v>0</v>
      </c>
      <c r="D15" s="90" t="e">
        <f>HLOOKUP('Saisie immeuble'!$C$3,Feuil1!$D$1:$BM$8,Feuil1!C15,FALSE)</f>
        <v>#N/A</v>
      </c>
      <c r="E15" s="1" t="e">
        <f>HLOOKUP('Saisie immeuble'!$C$3,Feuil1!$D$1:$BM$8,3,FALSE)</f>
        <v>#N/A</v>
      </c>
      <c r="F15" s="1" t="e">
        <f>IF(E15=1,450+'Saisie immeuble'!C12*6,IF(E15=2,300+'Saisie immeuble'!C12*5,150+'Saisie immeuble'!C12*3))</f>
        <v>#N/A</v>
      </c>
      <c r="G15" s="1" t="e">
        <f>IF(E15=1,1400+'Saisie immeuble'!C12*6,IF(E15=2,1100+'Saisie immeuble'!C12*6,500+'Saisie immeuble'!C12*6))</f>
        <v>#N/A</v>
      </c>
      <c r="H15" s="90">
        <f>IF('Saisie immeuble'!$C$6="oui",IF('Saisie immeuble'!D12="dernier étage",IF(Feuil1!E15=1,0.4*Feuil1!D15,IF(Feuil1!E15=2,0.35*Feuil1!D15,IF(Feuil1!E15=3,0.3*Feuil1!D15,0))),0),0)</f>
        <v>0</v>
      </c>
      <c r="I15" s="90">
        <f>IF('Saisie immeuble'!$C$7="oui",IF(AND(Feuil1!E15=1,('Saisie immeuble'!$C$4=Feuil1!$C$5)),0.3*Feuil1!D15,IF(AND(Feuil1!E15=1,('Saisie immeuble'!$C$4=Feuil1!$C$6)),0.2*Feuil1!D15,IF(AND(Feuil1!E15=2,('Saisie immeuble'!$C$4=Feuil1!$C$5)),0.25*Feuil1!D15,IF(AND(Feuil1!E15=2,('Saisie immeuble'!$C$4=Feuil1!$C$6)),0.15*Feuil1!D15,IF(AND(Feuil1!E15=3,('Saisie immeuble'!$C$4=Feuil1!$C$5)),0.2*Feuil1!D15,IF(AND(Feuil1!E15=3,('Saisie immeuble'!$C$4=Feuil1!$C$6)),0.12*Feuil1!D15)))))),0)</f>
        <v>0</v>
      </c>
      <c r="J15" s="90">
        <f>IF('Saisie immeuble'!$C$8="oui",IF(AND(Feuil1!E15=1,('Saisie immeuble'!$C$4=Feuil1!$C$5)),0.22*Feuil1!D15,IF(AND(Feuil1!E15=1,('Saisie immeuble'!$C$4=Feuil1!$C$6)),0.14*Feuil1!D15,IF(AND(Feuil1!E15=2,('Saisie immeuble'!$C$4=Feuil1!$C$5)),0.2*Feuil1!D15,IF(AND(Feuil1!E15=2,('Saisie immeuble'!$C$4=Feuil1!$C$6)),0.12*Feuil1!D15,IF(AND(Feuil1!E15=3,('Saisie immeuble'!$C$4=Feuil1!$C$5)),0.16*Feuil1!D15,IF(AND(Feuil1!E15=3,('Saisie immeuble'!$C$4=Feuil1!$C$6)),0.1*Feuil1!D15)))))),0)</f>
        <v>0</v>
      </c>
      <c r="K15" s="90">
        <f>IF('Saisie immeuble'!$F$7="oui",IF('Saisie immeuble'!D12="rez de chaussée",IF(Feuil1!E15=1,0.2*Feuil1!D15,IF(Feuil1!E15=2,0.16*Feuil1!D15,IF(Feuil1!E15=3,0.12*Feuil1!D15,0))),0),0)</f>
        <v>0</v>
      </c>
      <c r="L15" s="1">
        <f>IF('Saisie immeuble'!C12&gt;0,IF('Saisie immeuble'!C12&gt;57,('Saisie immeuble'!C12-57)*55,('Saisie immeuble'!C12-57)*35),0)</f>
        <v>0</v>
      </c>
      <c r="M15" s="1">
        <f>IF('Saisie immeuble'!C12&gt;0,IF('Saisie immeuble'!$H$7=Feuil1!$B$78,IF(Feuil1!E15=1,700,IF(Feuil1!E15=2,550,400)),IF('Saisie immeuble'!$H$7=Feuil1!$B$79,IF(Feuil1!E15=1,350,IF(Feuil1!E15=2,275,200)),0))*(1-((57-'Saisie immeuble'!C12)/100)),0)</f>
        <v>0</v>
      </c>
      <c r="N15" s="90" t="e">
        <f>D15-IF('Saisie immeuble'!G12=Feuil1!$B$68,Feuil1!F15,IF('Saisie immeuble'!G12=Feuil1!$B$69,G15,0))-H15-I15-J15+L15-K15+M15</f>
        <v>#N/A</v>
      </c>
      <c r="O15" s="90" t="e">
        <f t="shared" ref="O15:O53" si="6">N15*1.04</f>
        <v>#N/A</v>
      </c>
      <c r="P15" s="90" t="e">
        <f>IF('Saisie immeuble'!$C$5="individuel",N15/AJ15,O15/AJ15)</f>
        <v>#N/A</v>
      </c>
      <c r="Q15" s="99" t="e">
        <f t="shared" ref="Q15:Q53" si="7">P15*AL15+IF(R15="gaz",AA15,0)</f>
        <v>#N/A</v>
      </c>
      <c r="R15" s="96" t="e">
        <f>VLOOKUP('Saisie immeuble'!E12,Feuil1!$G$58:$I$75,3,0)</f>
        <v>#N/A</v>
      </c>
      <c r="S15" s="85" t="e">
        <f>VLOOKUP('Saisie immeuble'!F12,Feuil1!$Q$57:$U$70,5,FALSE)</f>
        <v>#N/A</v>
      </c>
      <c r="T15" s="1" t="e">
        <f>IF(AND(R15&lt;&gt;"élec",(S15&lt;&gt;"élec"),('Saisie immeuble'!C12&lt;40)),'Référence&amp;tarifs'!$A$6,IF(AND(R15="élec",(S15="élec")),'Référence&amp;tarifs'!$A$8,'Référence&amp;tarifs'!$A$7))</f>
        <v>#N/A</v>
      </c>
      <c r="U15" s="1" t="e">
        <f>VLOOKUP(T15,'Référence&amp;tarifs'!$A$6:$C$10,2,FALSE)</f>
        <v>#N/A</v>
      </c>
      <c r="V15" s="1" t="e">
        <f>VLOOKUP(T15,'Référence&amp;tarifs'!$A$6:$C$10,3,FALSE)</f>
        <v>#N/A</v>
      </c>
      <c r="W15" s="1"/>
      <c r="X15" s="86" t="e">
        <f>IF('Résultat immeuble'!N6&lt;1.1,HLOOKUP(Feuil1!T15,'Référence&amp;tarifs'!#REF!,2,FALSE),IF('Résultat immeuble'!N6&gt;1.9,HLOOKUP(Feuil1!T15,'Référence&amp;tarifs'!#REF!,4,FALSE),HLOOKUP(Feuil1!T15,'Référence&amp;tarifs'!#REF!,3,FALSE)))</f>
        <v>#N/A</v>
      </c>
      <c r="Y15" s="52" t="e">
        <f>IF(R15="gaz",N15,0)+IF(S15="gaz",AT15,0)+IF('Saisie immeuble'!H12="gaz de ville",Feuil1!AH15,0)</f>
        <v>#N/A</v>
      </c>
      <c r="Z15" s="1" t="e">
        <f>IF(Y15&lt;1000,'Référence&amp;tarifs'!$A$16,IF(Y15&gt;5999,'Référence&amp;tarifs'!$A$18,'Référence&amp;tarifs'!$A$17))</f>
        <v>#N/A</v>
      </c>
      <c r="AA15" s="1" t="e">
        <f>VLOOKUP(Z15,'Référence&amp;tarifs'!$A$16:$C$18,2,FALSE)</f>
        <v>#N/A</v>
      </c>
      <c r="AB15" s="1" t="e">
        <f>VLOOKUP(Z15,'Référence&amp;tarifs'!$A$16:$C$18,3,FALSE)</f>
        <v>#N/A</v>
      </c>
      <c r="AC15" s="58" t="b">
        <f>IF('Saisie immeuble'!$C$5="individuel",IF('Résultat immeuble'!N6=1,HLOOKUP(Feuil1!Z15,'Référence&amp;tarifs'!#REF!,2,FALSE),IF('Résultat immeuble'!N6&gt;1.9,HLOOKUP(Feuil1!Z15,'Référence&amp;tarifs'!#REF!,4,FALSE),HLOOKUP(Feuil1!Z15,'Référence&amp;tarifs'!#REF!,3,FALSE))),IF('Saisie immeuble'!$C$5="collectif",IF('Résultat immeuble'!N6=1,'Référence&amp;tarifs'!#REF!,IF('Résultat immeuble'!N6&gt;1.9,'Référence&amp;tarifs'!#REF!,IF(AND('Résultat immeuble'!N6&lt;2,('Résultat immeuble'!N6&gt;1)),'Référence&amp;tarifs'!#REF!,0)))))</f>
        <v>0</v>
      </c>
      <c r="AD15" s="109">
        <f>IF('Saisie immeuble'!I12+'Saisie immeuble'!J12&gt;0,18*'Saisie immeuble'!C12+3.5*('Saisie immeuble'!I12+'Saisie immeuble'!J12-1)*'Saisie immeuble'!C12,0)</f>
        <v>0</v>
      </c>
      <c r="AE15" s="110"/>
      <c r="AF15" s="111"/>
      <c r="AG15" s="97" t="e">
        <f t="shared" ref="AG15:AG53" si="8">AD15*V15+U15</f>
        <v>#N/A</v>
      </c>
      <c r="AH15" s="52">
        <f>IF('Saisie immeuble'!I12+'Saisie immeuble'!J12&gt;0,350+80*('Saisie immeuble'!I12+'Saisie immeuble'!J12-1),0)</f>
        <v>0</v>
      </c>
      <c r="AI15" s="97" t="e">
        <f>IF('Saisie immeuble'!H12="gaz de ville",Feuil1!AB15,IF('Saisie immeuble'!H12=$B$72,V15,0))*Feuil1!AH15+IF(AND(R15&lt;&gt;"gaz",(S15&lt;&gt;"gaz"),('Saisie immeuble'!H12="gaz de ville")),Feuil1!AA15,0)</f>
        <v>#N/A</v>
      </c>
      <c r="AJ15" s="52" t="e">
        <f>VLOOKUP('Saisie immeuble'!E12,Feuil1!$G$58:$I$75,2,FALSE)</f>
        <v>#N/A</v>
      </c>
      <c r="AK15" s="1" t="e">
        <f>VLOOKUP('Saisie immeuble'!E12,Feuil1!$G$58:$I$75,3,FALSE)</f>
        <v>#N/A</v>
      </c>
      <c r="AL15" s="98" t="e">
        <f>IF(AK15="élec",V15,IF(AK15="gaz",AB15,IF(AK15="fioul",'Référence&amp;tarifs'!$B$25,IF(AK15="bois buche",'Référence&amp;tarifs'!$B$23,IF(AK15="bois granulés",'Référence&amp;tarifs'!$B$24,IF(AK15=I59,0.8*('Référence&amp;tarifs'!$B$23+'Référence&amp;tarifs'!B17)/2+0.2*Feuil1!AB15,0))))))</f>
        <v>#N/A</v>
      </c>
      <c r="AM15" s="52">
        <f>IF('Saisie immeuble'!I12+'Saisie immeuble'!J12&gt;0,Feuil1!$AM$13+2*('Saisie immeuble'!I12+'Saisie immeuble'!J12-1),0)</f>
        <v>0</v>
      </c>
      <c r="AN15" s="1">
        <f>IF('Saisie immeuble'!I12+'Saisie immeuble'!J12&gt;0,Feuil1!$AN$13*('Saisie immeuble'!I12+'Saisie immeuble'!J12),0)</f>
        <v>0</v>
      </c>
      <c r="AO15" s="1">
        <f>IF('Saisie immeuble'!I12+'Saisie immeuble'!J12&gt;0,Feuil1!$AO$13+3*('Saisie immeuble'!I12+'Saisie immeuble'!J12-1),0)</f>
        <v>0</v>
      </c>
      <c r="AP15" s="1">
        <f>IF('Saisie immeuble'!I12+'Saisie immeuble'!J12&gt;0,Feuil1!$AP$13+2*('Saisie immeuble'!I12+'Saisie immeuble'!J12-1),0)</f>
        <v>0</v>
      </c>
      <c r="AQ15" s="1">
        <f>IF('Saisie immeuble'!I12+'Saisie immeuble'!J12&gt;0,Feuil1!$AQ$13*('Saisie immeuble'!I12+'Saisie immeuble'!J12),0)</f>
        <v>0</v>
      </c>
      <c r="AR15" s="1">
        <f t="shared" ref="AR15:AR53" si="9">SUM(AM15:AQ15)</f>
        <v>0</v>
      </c>
      <c r="AS15" s="99" t="e">
        <f>AR15*'Saisie immeuble'!$F$8+IF(AND(R15&lt;&gt;"gaz",(S15="gaz")),AA15,0)</f>
        <v>#N/A</v>
      </c>
      <c r="AT15" s="52">
        <f>IF('Saisie immeuble'!I12+'Saisie immeuble'!J12&gt;0,1100+700*('Saisie immeuble'!I12+'Saisie immeuble'!J12-1),0)</f>
        <v>0</v>
      </c>
      <c r="AU15" s="3" t="e">
        <f>IF(AW15="élec",Feuil1!V15,IF(AW15="gaz",Feuil1!AB15,IF(AW15="fioul",'Référence&amp;tarifs'!$B$25,IF(AW15="bois",('Référence&amp;tarifs'!$B$23+'Référence&amp;tarifs'!$B$24)/2,0))))</f>
        <v>#N/A</v>
      </c>
      <c r="AV15" s="1" t="e">
        <f>VLOOKUP('Saisie immeuble'!F12,Feuil1!$Q$57:$U$70,4,FALSE)</f>
        <v>#N/A</v>
      </c>
      <c r="AW15" s="1" t="e">
        <f>VLOOKUP('Saisie immeuble'!F12,Feuil1!$Q$57:$U$70,5,FALSE)</f>
        <v>#N/A</v>
      </c>
      <c r="AX15" s="97" t="e">
        <f t="shared" ref="AX15:AX53" si="10">(AT15/AV15)*AU15</f>
        <v>#N/A</v>
      </c>
    </row>
    <row r="16" spans="2:65" x14ac:dyDescent="0.3">
      <c r="B16" s="52" t="s">
        <v>3</v>
      </c>
      <c r="C16" s="1">
        <f>IF('Saisie immeuble'!D13=Feuil1!$B$4,4,IF(AND('Saisie immeuble'!D13=$B$5,('Saisie immeuble'!$C$4=Feuil1!$C$5)),5,IF(AND('Saisie immeuble'!D13=$B$5,('Saisie immeuble'!$C$4=Feuil1!$C$6)),6,IF(AND('Saisie immeuble'!D13=Feuil1!$B$7,('Saisie immeuble'!$C$4=Feuil1!$C$7)),7,IF(AND('Saisie immeuble'!D13=Feuil1!$B$7,('Saisie immeuble'!$C$4=Feuil1!$C$8)),8,0)))))</f>
        <v>0</v>
      </c>
      <c r="D16" s="90" t="e">
        <f>HLOOKUP('Saisie immeuble'!$C$3,Feuil1!$D$1:$BM$8,Feuil1!C16,FALSE)</f>
        <v>#N/A</v>
      </c>
      <c r="E16" s="1" t="e">
        <f>HLOOKUP('Saisie immeuble'!$C$3,Feuil1!$D$1:$BM$8,3,FALSE)</f>
        <v>#N/A</v>
      </c>
      <c r="F16" s="1" t="e">
        <f>IF(E16=1,450+'Saisie immeuble'!C13*6,IF(E16=2,300+'Saisie immeuble'!C13*5,150+'Saisie immeuble'!C13*3))</f>
        <v>#N/A</v>
      </c>
      <c r="G16" s="1" t="e">
        <f>IF(E16=1,1400+'Saisie immeuble'!C13*6,IF(E16=2,1100+'Saisie immeuble'!C13*6,500+'Saisie immeuble'!C13*6))</f>
        <v>#N/A</v>
      </c>
      <c r="H16" s="90">
        <f>IF('Saisie immeuble'!$C$6="oui",IF('Saisie immeuble'!D13="dernier étage",IF(Feuil1!E16=1,0.4*Feuil1!D16,IF(Feuil1!E16=2,0.35*Feuil1!D16,IF(Feuil1!E16=3,0.3*Feuil1!D16,0))),0),0)</f>
        <v>0</v>
      </c>
      <c r="I16" s="90">
        <f>IF('Saisie immeuble'!$C$7="oui",IF(AND(Feuil1!E16=1,('Saisie immeuble'!$C$4=Feuil1!$C$5)),0.3*Feuil1!D16,IF(AND(Feuil1!E16=1,('Saisie immeuble'!$C$4=Feuil1!$C$6)),0.2*Feuil1!D16,IF(AND(Feuil1!E16=2,('Saisie immeuble'!$C$4=Feuil1!$C$5)),0.25*Feuil1!D16,IF(AND(Feuil1!E16=2,('Saisie immeuble'!$C$4=Feuil1!$C$6)),0.15*Feuil1!D16,IF(AND(Feuil1!E16=3,('Saisie immeuble'!$C$4=Feuil1!$C$5)),0.2*Feuil1!D16,IF(AND(Feuil1!E16=3,('Saisie immeuble'!$C$4=Feuil1!$C$6)),0.12*Feuil1!D16)))))),0)</f>
        <v>0</v>
      </c>
      <c r="J16" s="90">
        <f>IF('Saisie immeuble'!$C$8="oui",IF(AND(Feuil1!E16=1,('Saisie immeuble'!$C$4=Feuil1!$C$5)),0.22*Feuil1!D16,IF(AND(Feuil1!E16=1,('Saisie immeuble'!$C$4=Feuil1!$C$6)),0.14*Feuil1!D16,IF(AND(Feuil1!E16=2,('Saisie immeuble'!$C$4=Feuil1!$C$5)),0.2*Feuil1!D16,IF(AND(Feuil1!E16=2,('Saisie immeuble'!$C$4=Feuil1!$C$6)),0.12*Feuil1!D16,IF(AND(Feuil1!E16=3,('Saisie immeuble'!$C$4=Feuil1!$C$5)),0.16*Feuil1!D16,IF(AND(Feuil1!E16=3,('Saisie immeuble'!$C$4=Feuil1!$C$6)),0.1*Feuil1!D16)))))),0)</f>
        <v>0</v>
      </c>
      <c r="K16" s="90">
        <f>IF('Saisie immeuble'!$F$7="oui",IF('Saisie immeuble'!D13="rez de chaussée",IF(Feuil1!E16=1,0.2*Feuil1!D16,IF(Feuil1!E16=2,0.16*Feuil1!D16,IF(Feuil1!E16=3,0.12*Feuil1!D16,0))),0),0)</f>
        <v>0</v>
      </c>
      <c r="L16" s="1">
        <f>IF('Saisie immeuble'!C13&gt;0,IF('Saisie immeuble'!C13&gt;57,('Saisie immeuble'!C13-57)*55,('Saisie immeuble'!C13-57)*35),0)</f>
        <v>0</v>
      </c>
      <c r="M16" s="1">
        <f>IF('Saisie immeuble'!C13&gt;0,IF('Saisie immeuble'!$H$7=Feuil1!$B$78,IF(Feuil1!E16=1,700,IF(Feuil1!E16=2,550,400)),IF('Saisie immeuble'!$H$7=Feuil1!$B$79,IF(Feuil1!E16=1,350,IF(Feuil1!E16=2,275,200)),0))*(1-((57-'Saisie immeuble'!C13)/100)),0)</f>
        <v>0</v>
      </c>
      <c r="N16" s="90" t="e">
        <f>D16-IF('Saisie immeuble'!G13=Feuil1!$B$68,Feuil1!F16,IF('Saisie immeuble'!G13=Feuil1!$B$69,G16,0))-H16-I16-J16+L16-K16+M16</f>
        <v>#N/A</v>
      </c>
      <c r="O16" s="90" t="e">
        <f t="shared" si="6"/>
        <v>#N/A</v>
      </c>
      <c r="P16" s="90" t="e">
        <f>IF('Saisie immeuble'!$C$5="individuel",N16/AJ16,O16/AJ16)</f>
        <v>#N/A</v>
      </c>
      <c r="Q16" s="99" t="e">
        <f t="shared" si="7"/>
        <v>#N/A</v>
      </c>
      <c r="R16" s="96" t="e">
        <f>VLOOKUP('Saisie immeuble'!E13,Feuil1!$G$58:$I$75,3,0)</f>
        <v>#N/A</v>
      </c>
      <c r="S16" s="85" t="e">
        <f>VLOOKUP('Saisie immeuble'!F13,Feuil1!$Q$57:$U$70,5,FALSE)</f>
        <v>#N/A</v>
      </c>
      <c r="T16" s="1" t="e">
        <f>IF(AND(R16&lt;&gt;"élec",(S16&lt;&gt;"élec"),('Saisie immeuble'!C13&lt;40)),'Référence&amp;tarifs'!$A$6,IF(AND(R16="élec",(S16="élec")),'Référence&amp;tarifs'!$A$8,'Référence&amp;tarifs'!$A$7))</f>
        <v>#N/A</v>
      </c>
      <c r="U16" s="1" t="e">
        <f>VLOOKUP(T16,'Référence&amp;tarifs'!$A$6:$C$10,2,FALSE)</f>
        <v>#N/A</v>
      </c>
      <c r="V16" s="1" t="e">
        <f>VLOOKUP(T16,'Référence&amp;tarifs'!$A$6:$C$10,3,FALSE)</f>
        <v>#N/A</v>
      </c>
      <c r="W16" s="1"/>
      <c r="X16" s="86" t="e">
        <f>IF('Résultat immeuble'!N7&lt;1.1,HLOOKUP(Feuil1!T16,'Référence&amp;tarifs'!#REF!,2,FALSE),IF('Résultat immeuble'!N7&gt;1.9,HLOOKUP(Feuil1!T16,'Référence&amp;tarifs'!#REF!,4,FALSE),HLOOKUP(Feuil1!T16,'Référence&amp;tarifs'!#REF!,3,FALSE)))</f>
        <v>#N/A</v>
      </c>
      <c r="Y16" s="52" t="e">
        <f>IF(R16="gaz",N16,0)+IF(S16="gaz",AT16,0)+IF('Saisie immeuble'!H13="gaz de ville",Feuil1!AH16,0)</f>
        <v>#N/A</v>
      </c>
      <c r="Z16" s="1" t="e">
        <f>IF(Y16&lt;1000,'Référence&amp;tarifs'!$A$16,IF(Y16&gt;5999,'Référence&amp;tarifs'!$A$18,'Référence&amp;tarifs'!$A$17))</f>
        <v>#N/A</v>
      </c>
      <c r="AA16" s="1" t="e">
        <f>VLOOKUP(Z16,'Référence&amp;tarifs'!$A$16:$C$18,2,FALSE)</f>
        <v>#N/A</v>
      </c>
      <c r="AB16" s="1" t="e">
        <f>VLOOKUP(Z16,'Référence&amp;tarifs'!$A$16:$C$18,3,FALSE)</f>
        <v>#N/A</v>
      </c>
      <c r="AC16" s="58" t="b">
        <f>IF('Saisie immeuble'!$C$5="individuel",IF('Résultat immeuble'!N7=1,HLOOKUP(Feuil1!Z16,'Référence&amp;tarifs'!#REF!,2,FALSE),IF('Résultat immeuble'!N7&gt;1.9,HLOOKUP(Feuil1!Z16,'Référence&amp;tarifs'!#REF!,4,FALSE),HLOOKUP(Feuil1!Z16,'Référence&amp;tarifs'!#REF!,3,FALSE))),IF('Saisie immeuble'!$C$5="collectif",IF('Résultat immeuble'!N7=1,'Référence&amp;tarifs'!#REF!,IF('Résultat immeuble'!N7&gt;1.9,'Référence&amp;tarifs'!#REF!,IF(AND('Résultat immeuble'!N7&lt;2,('Résultat immeuble'!N7&gt;1)),'Référence&amp;tarifs'!#REF!,0)))))</f>
        <v>0</v>
      </c>
      <c r="AD16" s="109">
        <f>IF('Saisie immeuble'!I13+'Saisie immeuble'!J13&gt;0,18*'Saisie immeuble'!C13+3.5*('Saisie immeuble'!I13+'Saisie immeuble'!J13-1)*'Saisie immeuble'!C13,0)</f>
        <v>0</v>
      </c>
      <c r="AE16" s="110"/>
      <c r="AF16" s="111"/>
      <c r="AG16" s="97" t="e">
        <f t="shared" si="8"/>
        <v>#N/A</v>
      </c>
      <c r="AH16" s="52">
        <f>IF('Saisie immeuble'!I13+'Saisie immeuble'!J13&gt;0,350+80*('Saisie immeuble'!I13+'Saisie immeuble'!J13-1),0)</f>
        <v>0</v>
      </c>
      <c r="AI16" s="97" t="e">
        <f>IF('Saisie immeuble'!H13="gaz de ville",Feuil1!AB16,IF('Saisie immeuble'!H13=$B$72,V16,0))*Feuil1!AH16+IF(AND(R16&lt;&gt;"gaz",(S16&lt;&gt;"gaz"),('Saisie immeuble'!H13="gaz de ville")),Feuil1!AA16,0)</f>
        <v>#N/A</v>
      </c>
      <c r="AJ16" s="52" t="e">
        <f>VLOOKUP('Saisie immeuble'!E13,Feuil1!$G$58:$I$75,2,FALSE)</f>
        <v>#N/A</v>
      </c>
      <c r="AK16" s="1" t="e">
        <f>VLOOKUP('Saisie immeuble'!E13,Feuil1!$G$58:$I$75,3,FALSE)</f>
        <v>#N/A</v>
      </c>
      <c r="AL16" s="98" t="e">
        <f>IF(AK16="élec",V16,IF(AK16="gaz",AB16,IF(AK16="fioul",'Référence&amp;tarifs'!$B$25,IF(AK16="bois buche",'Référence&amp;tarifs'!$B$23,IF(AK16="bois granulés",'Référence&amp;tarifs'!$B$24,IF(AK16=I60,0.8*('Référence&amp;tarifs'!$B$23+'Référence&amp;tarifs'!B18)/2+0.2*Feuil1!AB16,0))))))</f>
        <v>#N/A</v>
      </c>
      <c r="AM16" s="52">
        <f>IF('Saisie immeuble'!I13+'Saisie immeuble'!J13&gt;0,Feuil1!$AM$13+2*('Saisie immeuble'!I13+'Saisie immeuble'!J13-1),0)</f>
        <v>0</v>
      </c>
      <c r="AN16" s="1">
        <f>IF('Saisie immeuble'!I13+'Saisie immeuble'!J13&gt;0,Feuil1!$AN$13*('Saisie immeuble'!I13+'Saisie immeuble'!J13),0)</f>
        <v>0</v>
      </c>
      <c r="AO16" s="1">
        <f>IF('Saisie immeuble'!I13+'Saisie immeuble'!J13&gt;0,Feuil1!$AO$13+3*('Saisie immeuble'!I13+'Saisie immeuble'!J13-1),0)</f>
        <v>0</v>
      </c>
      <c r="AP16" s="1">
        <f>IF('Saisie immeuble'!I13+'Saisie immeuble'!J13&gt;0,Feuil1!$AP$13+2*('Saisie immeuble'!I13+'Saisie immeuble'!J13-1),0)</f>
        <v>0</v>
      </c>
      <c r="AQ16" s="1">
        <f>IF('Saisie immeuble'!I13+'Saisie immeuble'!J13&gt;0,Feuil1!$AQ$13*('Saisie immeuble'!I13+'Saisie immeuble'!J13),0)</f>
        <v>0</v>
      </c>
      <c r="AR16" s="1">
        <f t="shared" si="9"/>
        <v>0</v>
      </c>
      <c r="AS16" s="99" t="e">
        <f>AR16*'Saisie immeuble'!$F$8+IF(AND(R16&lt;&gt;"gaz",(S16="gaz")),AA16,0)</f>
        <v>#N/A</v>
      </c>
      <c r="AT16" s="52">
        <f>IF('Saisie immeuble'!I13+'Saisie immeuble'!J13&gt;0,1100+700*('Saisie immeuble'!I13+'Saisie immeuble'!J13-1),0)</f>
        <v>0</v>
      </c>
      <c r="AU16" s="3" t="e">
        <f>IF(AW16="élec",Feuil1!V16,IF(AW16="gaz",Feuil1!AB16,IF(AW16="fioul",'Référence&amp;tarifs'!$B$25,IF(AW16="bois",('Référence&amp;tarifs'!$B$23+'Référence&amp;tarifs'!$B$24)/2,0))))</f>
        <v>#N/A</v>
      </c>
      <c r="AV16" s="1" t="e">
        <f>VLOOKUP('Saisie immeuble'!F13,Feuil1!$Q$57:$U$70,4,FALSE)</f>
        <v>#N/A</v>
      </c>
      <c r="AW16" s="1" t="e">
        <f>VLOOKUP('Saisie immeuble'!F13,Feuil1!$Q$57:$U$70,5,FALSE)</f>
        <v>#N/A</v>
      </c>
      <c r="AX16" s="97" t="e">
        <f t="shared" si="10"/>
        <v>#N/A</v>
      </c>
    </row>
    <row r="17" spans="2:50" x14ac:dyDescent="0.3">
      <c r="B17" s="52" t="s">
        <v>4</v>
      </c>
      <c r="C17" s="1">
        <f>IF('Saisie immeuble'!D14=Feuil1!$B$4,4,IF(AND('Saisie immeuble'!D14=$B$5,('Saisie immeuble'!$C$4=Feuil1!$C$5)),5,IF(AND('Saisie immeuble'!D14=$B$5,('Saisie immeuble'!$C$4=Feuil1!$C$6)),6,IF(AND('Saisie immeuble'!D14=Feuil1!$B$7,('Saisie immeuble'!$C$4=Feuil1!$C$7)),7,IF(AND('Saisie immeuble'!D14=Feuil1!$B$7,('Saisie immeuble'!$C$4=Feuil1!$C$8)),8,0)))))</f>
        <v>0</v>
      </c>
      <c r="D17" s="90" t="e">
        <f>HLOOKUP('Saisie immeuble'!$C$3,Feuil1!$D$1:$BM$8,Feuil1!C17,FALSE)</f>
        <v>#N/A</v>
      </c>
      <c r="E17" s="1" t="e">
        <f>HLOOKUP('Saisie immeuble'!$C$3,Feuil1!$D$1:$BM$8,3,FALSE)</f>
        <v>#N/A</v>
      </c>
      <c r="F17" s="1" t="e">
        <f>IF(E17=1,450+'Saisie immeuble'!C14*6,IF(E17=2,300+'Saisie immeuble'!C14*5,150+'Saisie immeuble'!C14*3))</f>
        <v>#N/A</v>
      </c>
      <c r="G17" s="1" t="e">
        <f>IF(E17=1,1400+'Saisie immeuble'!C14*6,IF(E17=2,1100+'Saisie immeuble'!C14*6,500+'Saisie immeuble'!C14*6))</f>
        <v>#N/A</v>
      </c>
      <c r="H17" s="90">
        <f>IF('Saisie immeuble'!$C$6="oui",IF('Saisie immeuble'!D14="dernier étage",IF(Feuil1!E17=1,0.4*Feuil1!D17,IF(Feuil1!E17=2,0.35*Feuil1!D17,IF(Feuil1!E17=3,0.3*Feuil1!D17,0))),0),0)</f>
        <v>0</v>
      </c>
      <c r="I17" s="90">
        <f>IF('Saisie immeuble'!$C$7="oui",IF(AND(Feuil1!E17=1,('Saisie immeuble'!$C$4=Feuil1!$C$5)),0.3*Feuil1!D17,IF(AND(Feuil1!E17=1,('Saisie immeuble'!$C$4=Feuil1!$C$6)),0.2*Feuil1!D17,IF(AND(Feuil1!E17=2,('Saisie immeuble'!$C$4=Feuil1!$C$5)),0.25*Feuil1!D17,IF(AND(Feuil1!E17=2,('Saisie immeuble'!$C$4=Feuil1!$C$6)),0.15*Feuil1!D17,IF(AND(Feuil1!E17=3,('Saisie immeuble'!$C$4=Feuil1!$C$5)),0.2*Feuil1!D17,IF(AND(Feuil1!E17=3,('Saisie immeuble'!$C$4=Feuil1!$C$6)),0.12*Feuil1!D17)))))),0)</f>
        <v>0</v>
      </c>
      <c r="J17" s="90">
        <f>IF('Saisie immeuble'!$C$8="oui",IF(AND(Feuil1!E17=1,('Saisie immeuble'!$C$4=Feuil1!$C$5)),0.22*Feuil1!D17,IF(AND(Feuil1!E17=1,('Saisie immeuble'!$C$4=Feuil1!$C$6)),0.14*Feuil1!D17,IF(AND(Feuil1!E17=2,('Saisie immeuble'!$C$4=Feuil1!$C$5)),0.2*Feuil1!D17,IF(AND(Feuil1!E17=2,('Saisie immeuble'!$C$4=Feuil1!$C$6)),0.12*Feuil1!D17,IF(AND(Feuil1!E17=3,('Saisie immeuble'!$C$4=Feuil1!$C$5)),0.16*Feuil1!D17,IF(AND(Feuil1!E17=3,('Saisie immeuble'!$C$4=Feuil1!$C$6)),0.1*Feuil1!D17)))))),0)</f>
        <v>0</v>
      </c>
      <c r="K17" s="90">
        <f>IF('Saisie immeuble'!$F$7="oui",IF('Saisie immeuble'!D14="rez de chaussée",IF(Feuil1!E17=1,0.2*Feuil1!D17,IF(Feuil1!E17=2,0.16*Feuil1!D17,IF(Feuil1!E17=3,0.12*Feuil1!D17,0))),0),0)</f>
        <v>0</v>
      </c>
      <c r="L17" s="1">
        <f>IF('Saisie immeuble'!C14&gt;0,IF('Saisie immeuble'!C14&gt;57,('Saisie immeuble'!C14-57)*55,('Saisie immeuble'!C14-57)*35),0)</f>
        <v>0</v>
      </c>
      <c r="M17" s="1">
        <f>IF('Saisie immeuble'!C14&gt;0,IF('Saisie immeuble'!$H$7=Feuil1!$B$78,IF(Feuil1!E17=1,700,IF(Feuil1!E17=2,550,400)),IF('Saisie immeuble'!$H$7=Feuil1!$B$79,IF(Feuil1!E17=1,350,IF(Feuil1!E17=2,275,200)),0))*(1-((57-'Saisie immeuble'!C14)/100)),0)</f>
        <v>0</v>
      </c>
      <c r="N17" s="90" t="e">
        <f>D17-IF('Saisie immeuble'!G14=Feuil1!$B$68,Feuil1!F17,IF('Saisie immeuble'!G14=Feuil1!$B$69,G17,0))-H17-I17-J17+L17-K17+M17</f>
        <v>#N/A</v>
      </c>
      <c r="O17" s="90" t="e">
        <f t="shared" si="6"/>
        <v>#N/A</v>
      </c>
      <c r="P17" s="90" t="e">
        <f>IF('Saisie immeuble'!$C$5="individuel",N17/AJ17,O17/AJ17)</f>
        <v>#N/A</v>
      </c>
      <c r="Q17" s="99" t="e">
        <f t="shared" si="7"/>
        <v>#N/A</v>
      </c>
      <c r="R17" s="96" t="e">
        <f>VLOOKUP('Saisie immeuble'!E14,Feuil1!$G$58:$I$75,3,0)</f>
        <v>#N/A</v>
      </c>
      <c r="S17" s="112" t="e">
        <f>VLOOKUP('Saisie immeuble'!F14,Feuil1!$Q$57:$U$70,5,FALSE)</f>
        <v>#N/A</v>
      </c>
      <c r="T17" s="1" t="e">
        <f>IF(AND(R17&lt;&gt;"élec",(S17&lt;&gt;"élec"),('Saisie immeuble'!C14&lt;40)),'Référence&amp;tarifs'!$A$6,IF(AND(R17="élec",(S17="élec")),'Référence&amp;tarifs'!$A$8,'Référence&amp;tarifs'!$A$7))</f>
        <v>#N/A</v>
      </c>
      <c r="U17" s="1" t="e">
        <f>VLOOKUP(T17,'Référence&amp;tarifs'!$A$6:$C$10,2,FALSE)</f>
        <v>#N/A</v>
      </c>
      <c r="V17" s="1" t="e">
        <f>VLOOKUP(T17,'Référence&amp;tarifs'!$A$6:$C$10,3,FALSE)</f>
        <v>#N/A</v>
      </c>
      <c r="W17" s="1"/>
      <c r="X17" s="51" t="e">
        <f>IF('Résultat immeuble'!N8&lt;1.1,HLOOKUP(Feuil1!T17,'Référence&amp;tarifs'!#REF!,2,FALSE),IF('Résultat immeuble'!N8&gt;1.9,HLOOKUP(Feuil1!T17,'Référence&amp;tarifs'!#REF!,4,FALSE),HLOOKUP(Feuil1!T17,'Référence&amp;tarifs'!#REF!,3,FALSE)))</f>
        <v>#N/A</v>
      </c>
      <c r="Y17" s="52" t="e">
        <f>IF(R17="gaz",N17,0)+IF(S17="gaz",AT17,0)+IF('Saisie immeuble'!H14="gaz de ville",Feuil1!AH17,0)</f>
        <v>#N/A</v>
      </c>
      <c r="Z17" s="1" t="e">
        <f>IF(Y17&lt;1000,'Référence&amp;tarifs'!$A$16,IF(Y17&gt;5999,'Référence&amp;tarifs'!$A$18,'Référence&amp;tarifs'!$A$17))</f>
        <v>#N/A</v>
      </c>
      <c r="AA17" s="1" t="e">
        <f>VLOOKUP(Z17,'Référence&amp;tarifs'!$A$16:$C$18,2,FALSE)</f>
        <v>#N/A</v>
      </c>
      <c r="AB17" s="1" t="e">
        <f>VLOOKUP(Z17,'Référence&amp;tarifs'!$A$16:$C$18,3,FALSE)</f>
        <v>#N/A</v>
      </c>
      <c r="AC17" s="58" t="b">
        <f>IF('Saisie immeuble'!$C$5="individuel",IF('Résultat immeuble'!N8=1,HLOOKUP(Feuil1!Z17,'Référence&amp;tarifs'!#REF!,2,FALSE),IF('Résultat immeuble'!N8&gt;1.9,HLOOKUP(Feuil1!Z17,'Référence&amp;tarifs'!#REF!,4,FALSE),HLOOKUP(Feuil1!Z17,'Référence&amp;tarifs'!#REF!,3,FALSE))),IF('Saisie immeuble'!$C$5="collectif",IF('Résultat immeuble'!N8=1,'Référence&amp;tarifs'!#REF!,IF('Résultat immeuble'!N8&gt;1.9,'Référence&amp;tarifs'!#REF!,IF(AND('Résultat immeuble'!N8&lt;2,('Résultat immeuble'!N8&gt;1)),'Référence&amp;tarifs'!#REF!,0)))))</f>
        <v>0</v>
      </c>
      <c r="AD17" s="109">
        <f>IF('Saisie immeuble'!I14+'Saisie immeuble'!J14&gt;0,18*'Saisie immeuble'!C14+3.5*('Saisie immeuble'!I14+'Saisie immeuble'!J14-1)*'Saisie immeuble'!C14,0)</f>
        <v>0</v>
      </c>
      <c r="AE17" s="110"/>
      <c r="AF17" s="111"/>
      <c r="AG17" s="97" t="e">
        <f t="shared" si="8"/>
        <v>#N/A</v>
      </c>
      <c r="AH17" s="52">
        <f>IF('Saisie immeuble'!I14+'Saisie immeuble'!J14&gt;0,350+80*('Saisie immeuble'!I14+'Saisie immeuble'!J14-1),0)</f>
        <v>0</v>
      </c>
      <c r="AI17" s="97" t="e">
        <f>IF('Saisie immeuble'!H14="gaz de ville",Feuil1!AB17,IF('Saisie immeuble'!H14=$B$72,V17,0))*Feuil1!AH17+IF(AND(R17&lt;&gt;"gaz",(S17&lt;&gt;"gaz"),('Saisie immeuble'!H14="gaz de ville")),Feuil1!AA17,0)</f>
        <v>#N/A</v>
      </c>
      <c r="AJ17" s="52" t="e">
        <f>VLOOKUP('Saisie immeuble'!E14,Feuil1!$G$58:$I$75,2,FALSE)</f>
        <v>#N/A</v>
      </c>
      <c r="AK17" s="1" t="e">
        <f>VLOOKUP('Saisie immeuble'!E14,Feuil1!$G$58:$I$75,3,FALSE)</f>
        <v>#N/A</v>
      </c>
      <c r="AL17" s="98" t="e">
        <f>IF(AK17="élec",V17,IF(AK17="gaz",AB17,IF(AK17="fioul",'Référence&amp;tarifs'!$B$25,IF(AK17="bois buche",'Référence&amp;tarifs'!$B$23,IF(AK17="bois granulés",'Référence&amp;tarifs'!$B$24,IF(AK17=I61,0.8*('Référence&amp;tarifs'!$B$23+'Référence&amp;tarifs'!B19)/2+0.2*Feuil1!AB17,0))))))</f>
        <v>#N/A</v>
      </c>
      <c r="AM17" s="52">
        <f>IF('Saisie immeuble'!I14+'Saisie immeuble'!J14&gt;0,Feuil1!$AM$13+2*('Saisie immeuble'!I14+'Saisie immeuble'!J14-1),0)</f>
        <v>0</v>
      </c>
      <c r="AN17" s="1">
        <f>IF('Saisie immeuble'!I14+'Saisie immeuble'!J14&gt;0,Feuil1!$AN$13*('Saisie immeuble'!I14+'Saisie immeuble'!J14),0)</f>
        <v>0</v>
      </c>
      <c r="AO17" s="1">
        <f>IF('Saisie immeuble'!I14+'Saisie immeuble'!J14&gt;0,Feuil1!$AO$13+3*('Saisie immeuble'!I14+'Saisie immeuble'!J14-1),0)</f>
        <v>0</v>
      </c>
      <c r="AP17" s="1">
        <f>IF('Saisie immeuble'!I14+'Saisie immeuble'!J14&gt;0,Feuil1!$AP$13+2*('Saisie immeuble'!I14+'Saisie immeuble'!J14-1),0)</f>
        <v>0</v>
      </c>
      <c r="AQ17" s="1">
        <f>IF('Saisie immeuble'!I14+'Saisie immeuble'!J14&gt;0,Feuil1!$AQ$13*('Saisie immeuble'!I14+'Saisie immeuble'!J14),0)</f>
        <v>0</v>
      </c>
      <c r="AR17" s="1">
        <f t="shared" si="9"/>
        <v>0</v>
      </c>
      <c r="AS17" s="99" t="e">
        <f>AR17*'Saisie immeuble'!$F$8+IF(AND(R17&lt;&gt;"gaz",(S17="gaz")),AA17,0)</f>
        <v>#N/A</v>
      </c>
      <c r="AT17" s="52">
        <f>IF('Saisie immeuble'!I14+'Saisie immeuble'!J14&gt;0,1100+700*('Saisie immeuble'!I14+'Saisie immeuble'!J14-1),0)</f>
        <v>0</v>
      </c>
      <c r="AU17" s="3" t="e">
        <f>IF(AW17="élec",Feuil1!V17,IF(AW17="gaz",Feuil1!AB17,IF(AW17="fioul",'Référence&amp;tarifs'!$B$25,IF(AW17="bois",('Référence&amp;tarifs'!$B$23+'Référence&amp;tarifs'!$B$24)/2,0))))</f>
        <v>#N/A</v>
      </c>
      <c r="AV17" s="1" t="e">
        <f>VLOOKUP('Saisie immeuble'!F14,Feuil1!$Q$57:$U$70,4,FALSE)</f>
        <v>#N/A</v>
      </c>
      <c r="AW17" s="1" t="e">
        <f>VLOOKUP('Saisie immeuble'!F14,Feuil1!$Q$57:$U$70,5,FALSE)</f>
        <v>#N/A</v>
      </c>
      <c r="AX17" s="97" t="e">
        <f t="shared" si="10"/>
        <v>#N/A</v>
      </c>
    </row>
    <row r="18" spans="2:50" x14ac:dyDescent="0.3">
      <c r="B18" s="52" t="s">
        <v>5</v>
      </c>
      <c r="C18" s="1">
        <f>IF('Saisie immeuble'!D15=Feuil1!$B$4,4,IF(AND('Saisie immeuble'!D15=$B$5,('Saisie immeuble'!$C$4=Feuil1!$C$5)),5,IF(AND('Saisie immeuble'!D15=$B$5,('Saisie immeuble'!$C$4=Feuil1!$C$6)),6,IF(AND('Saisie immeuble'!D15=Feuil1!$B$7,('Saisie immeuble'!$C$4=Feuil1!$C$7)),7,IF(AND('Saisie immeuble'!D15=Feuil1!$B$7,('Saisie immeuble'!$C$4=Feuil1!$C$8)),8,0)))))</f>
        <v>0</v>
      </c>
      <c r="D18" s="90" t="e">
        <f>HLOOKUP('Saisie immeuble'!$C$3,Feuil1!$D$1:$BM$8,Feuil1!C18,FALSE)</f>
        <v>#N/A</v>
      </c>
      <c r="E18" s="1" t="e">
        <f>HLOOKUP('Saisie immeuble'!$C$3,Feuil1!$D$1:$BM$8,3,FALSE)</f>
        <v>#N/A</v>
      </c>
      <c r="F18" s="1" t="e">
        <f>IF(E18=1,450+'Saisie immeuble'!C15*6,IF(E18=2,300+'Saisie immeuble'!C15*5,150+'Saisie immeuble'!C15*3))</f>
        <v>#N/A</v>
      </c>
      <c r="G18" s="1" t="e">
        <f>IF(E18=1,1400+'Saisie immeuble'!C15*6,IF(E18=2,1100+'Saisie immeuble'!C15*6,500+'Saisie immeuble'!C15*6))</f>
        <v>#N/A</v>
      </c>
      <c r="H18" s="90">
        <f>IF('Saisie immeuble'!$C$6="oui",IF('Saisie immeuble'!D15="dernier étage",IF(Feuil1!E18=1,0.4*Feuil1!D18,IF(Feuil1!E18=2,0.35*Feuil1!D18,IF(Feuil1!E18=3,0.3*Feuil1!D18,0))),0),0)</f>
        <v>0</v>
      </c>
      <c r="I18" s="90">
        <f>IF('Saisie immeuble'!$C$7="oui",IF(AND(Feuil1!E18=1,('Saisie immeuble'!$C$4=Feuil1!$C$5)),0.3*Feuil1!D18,IF(AND(Feuil1!E18=1,('Saisie immeuble'!$C$4=Feuil1!$C$6)),0.2*Feuil1!D18,IF(AND(Feuil1!E18=2,('Saisie immeuble'!$C$4=Feuil1!$C$5)),0.25*Feuil1!D18,IF(AND(Feuil1!E18=2,('Saisie immeuble'!$C$4=Feuil1!$C$6)),0.15*Feuil1!D18,IF(AND(Feuil1!E18=3,('Saisie immeuble'!$C$4=Feuil1!$C$5)),0.2*Feuil1!D18,IF(AND(Feuil1!E18=3,('Saisie immeuble'!$C$4=Feuil1!$C$6)),0.12*Feuil1!D18)))))),0)</f>
        <v>0</v>
      </c>
      <c r="J18" s="90">
        <f>IF('Saisie immeuble'!$C$8="oui",IF(AND(Feuil1!E18=1,('Saisie immeuble'!$C$4=Feuil1!$C$5)),0.22*Feuil1!D18,IF(AND(Feuil1!E18=1,('Saisie immeuble'!$C$4=Feuil1!$C$6)),0.14*Feuil1!D18,IF(AND(Feuil1!E18=2,('Saisie immeuble'!$C$4=Feuil1!$C$5)),0.2*Feuil1!D18,IF(AND(Feuil1!E18=2,('Saisie immeuble'!$C$4=Feuil1!$C$6)),0.12*Feuil1!D18,IF(AND(Feuil1!E18=3,('Saisie immeuble'!$C$4=Feuil1!$C$5)),0.16*Feuil1!D18,IF(AND(Feuil1!E18=3,('Saisie immeuble'!$C$4=Feuil1!$C$6)),0.1*Feuil1!D18)))))),0)</f>
        <v>0</v>
      </c>
      <c r="K18" s="90">
        <f>IF('Saisie immeuble'!$F$7="oui",IF('Saisie immeuble'!D15="rez de chaussée",IF(Feuil1!E18=1,0.2*Feuil1!D18,IF(Feuil1!E18=2,0.16*Feuil1!D18,IF(Feuil1!E18=3,0.12*Feuil1!D18,0))),0),0)</f>
        <v>0</v>
      </c>
      <c r="L18" s="1">
        <f>IF('Saisie immeuble'!C15&gt;0,IF('Saisie immeuble'!C15&gt;57,('Saisie immeuble'!C15-57)*55,('Saisie immeuble'!C15-57)*35),0)</f>
        <v>0</v>
      </c>
      <c r="M18" s="1">
        <f>IF('Saisie immeuble'!C15&gt;0,IF('Saisie immeuble'!$H$7=Feuil1!$B$78,IF(Feuil1!E18=1,700,IF(Feuil1!E18=2,550,400)),IF('Saisie immeuble'!$H$7=Feuil1!$B$79,IF(Feuil1!E18=1,350,IF(Feuil1!E18=2,275,200)),0))*(1-((57-'Saisie immeuble'!C15)/100)),0)</f>
        <v>0</v>
      </c>
      <c r="N18" s="90" t="e">
        <f>D18-IF('Saisie immeuble'!G15=Feuil1!$B$68,Feuil1!F18,IF('Saisie immeuble'!G15=Feuil1!$B$69,G18,0))-H18-I18-J18+L18-K18+M18</f>
        <v>#N/A</v>
      </c>
      <c r="O18" s="90" t="e">
        <f t="shared" si="6"/>
        <v>#N/A</v>
      </c>
      <c r="P18" s="90" t="e">
        <f>IF('Saisie immeuble'!$C$5="individuel",N18/AJ18,O18/AJ18)</f>
        <v>#N/A</v>
      </c>
      <c r="Q18" s="99" t="e">
        <f t="shared" si="7"/>
        <v>#N/A</v>
      </c>
      <c r="R18" s="96" t="e">
        <f>VLOOKUP('Saisie immeuble'!E15,Feuil1!$G$58:$I$75,3,0)</f>
        <v>#N/A</v>
      </c>
      <c r="S18" s="112" t="e">
        <f>VLOOKUP('Saisie immeuble'!F15,Feuil1!$Q$57:$U$70,5,FALSE)</f>
        <v>#N/A</v>
      </c>
      <c r="T18" s="1" t="e">
        <f>IF(AND(R18&lt;&gt;"élec",(S18&lt;&gt;"élec"),('Saisie immeuble'!C15&lt;40)),'Référence&amp;tarifs'!$A$6,IF(AND(R18="élec",(S18="élec")),'Référence&amp;tarifs'!$A$8,'Référence&amp;tarifs'!$A$7))</f>
        <v>#N/A</v>
      </c>
      <c r="U18" s="1" t="e">
        <f>VLOOKUP(T18,'Référence&amp;tarifs'!$A$6:$C$10,2,FALSE)</f>
        <v>#N/A</v>
      </c>
      <c r="V18" s="1" t="e">
        <f>VLOOKUP(T18,'Référence&amp;tarifs'!$A$6:$C$10,3,FALSE)</f>
        <v>#N/A</v>
      </c>
      <c r="W18" s="1"/>
      <c r="X18" s="51" t="e">
        <f>IF('Résultat immeuble'!N9&lt;1.1,HLOOKUP(Feuil1!T18,'Référence&amp;tarifs'!#REF!,2,FALSE),IF('Résultat immeuble'!N9&gt;1.9,HLOOKUP(Feuil1!T18,'Référence&amp;tarifs'!#REF!,4,FALSE),HLOOKUP(Feuil1!T18,'Référence&amp;tarifs'!#REF!,3,FALSE)))</f>
        <v>#N/A</v>
      </c>
      <c r="Y18" s="52" t="e">
        <f>IF(R18="gaz",N18,0)+IF(S18="gaz",AT18,0)+IF('Saisie immeuble'!H15="gaz de ville",Feuil1!AH18,0)</f>
        <v>#N/A</v>
      </c>
      <c r="Z18" s="1" t="e">
        <f>IF(Y18&lt;1000,'Référence&amp;tarifs'!$A$16,IF(Y18&gt;5999,'Référence&amp;tarifs'!$A$18,'Référence&amp;tarifs'!$A$17))</f>
        <v>#N/A</v>
      </c>
      <c r="AA18" s="1" t="e">
        <f>VLOOKUP(Z18,'Référence&amp;tarifs'!$A$16:$C$18,2,FALSE)</f>
        <v>#N/A</v>
      </c>
      <c r="AB18" s="1" t="e">
        <f>VLOOKUP(Z18,'Référence&amp;tarifs'!$A$16:$C$18,3,FALSE)</f>
        <v>#N/A</v>
      </c>
      <c r="AC18" s="58" t="b">
        <f>IF('Saisie immeuble'!$C$5="individuel",IF('Résultat immeuble'!N9=1,HLOOKUP(Feuil1!Z18,'Référence&amp;tarifs'!#REF!,2,FALSE),IF('Résultat immeuble'!N9&gt;1.9,HLOOKUP(Feuil1!Z18,'Référence&amp;tarifs'!#REF!,4,FALSE),HLOOKUP(Feuil1!Z18,'Référence&amp;tarifs'!#REF!,3,FALSE))),IF('Saisie immeuble'!$C$5="collectif",IF('Résultat immeuble'!N9=1,'Référence&amp;tarifs'!#REF!,IF('Résultat immeuble'!N9&gt;1.9,'Référence&amp;tarifs'!#REF!,IF(AND('Résultat immeuble'!N9&lt;2,('Résultat immeuble'!N9&gt;1)),'Référence&amp;tarifs'!#REF!,0)))))</f>
        <v>0</v>
      </c>
      <c r="AD18" s="109">
        <f>IF('Saisie immeuble'!I15+'Saisie immeuble'!J15&gt;0,18*'Saisie immeuble'!C15+3.5*('Saisie immeuble'!I15+'Saisie immeuble'!J15-1)*'Saisie immeuble'!C15,0)</f>
        <v>0</v>
      </c>
      <c r="AE18" s="110"/>
      <c r="AF18" s="111"/>
      <c r="AG18" s="97" t="e">
        <f t="shared" si="8"/>
        <v>#N/A</v>
      </c>
      <c r="AH18" s="52">
        <f>IF('Saisie immeuble'!I15+'Saisie immeuble'!J15&gt;0,350+80*('Saisie immeuble'!I15+'Saisie immeuble'!J15-1),0)</f>
        <v>0</v>
      </c>
      <c r="AI18" s="97" t="e">
        <f>IF('Saisie immeuble'!H15="gaz de ville",Feuil1!AB18,IF('Saisie immeuble'!H15=$B$72,V18,0))*Feuil1!AH18+IF(AND(R18&lt;&gt;"gaz",(S18&lt;&gt;"gaz"),('Saisie immeuble'!H15="gaz de ville")),Feuil1!AA18,0)</f>
        <v>#N/A</v>
      </c>
      <c r="AJ18" s="52" t="e">
        <f>VLOOKUP('Saisie immeuble'!E15,Feuil1!$G$58:$I$75,2,FALSE)</f>
        <v>#N/A</v>
      </c>
      <c r="AK18" s="1" t="e">
        <f>VLOOKUP('Saisie immeuble'!E15,Feuil1!$G$58:$I$75,3,FALSE)</f>
        <v>#N/A</v>
      </c>
      <c r="AL18" s="98" t="e">
        <f>IF(AK18="élec",V18,IF(AK18="gaz",AB18,IF(AK18="fioul",'Référence&amp;tarifs'!$B$25,IF(AK18="bois buche",'Référence&amp;tarifs'!$B$23,IF(AK18="bois granulés",'Référence&amp;tarifs'!$B$24,IF(AK18=I62,0.8*('Référence&amp;tarifs'!$B$23+'Référence&amp;tarifs'!B20)/2+0.2*Feuil1!AB18,0))))))</f>
        <v>#N/A</v>
      </c>
      <c r="AM18" s="52">
        <f>IF('Saisie immeuble'!I15+'Saisie immeuble'!J15&gt;0,Feuil1!$AM$13+2*('Saisie immeuble'!I15+'Saisie immeuble'!J15-1),0)</f>
        <v>0</v>
      </c>
      <c r="AN18" s="1">
        <f>IF('Saisie immeuble'!I15+'Saisie immeuble'!J15&gt;0,Feuil1!$AN$13*('Saisie immeuble'!I15+'Saisie immeuble'!J15),0)</f>
        <v>0</v>
      </c>
      <c r="AO18" s="1">
        <f>IF('Saisie immeuble'!I15+'Saisie immeuble'!J15&gt;0,Feuil1!$AO$13+3*('Saisie immeuble'!I15+'Saisie immeuble'!J15-1),0)</f>
        <v>0</v>
      </c>
      <c r="AP18" s="1">
        <f>IF('Saisie immeuble'!I15+'Saisie immeuble'!J15&gt;0,Feuil1!$AP$13+2*('Saisie immeuble'!I15+'Saisie immeuble'!J15-1),0)</f>
        <v>0</v>
      </c>
      <c r="AQ18" s="1">
        <f>IF('Saisie immeuble'!I15+'Saisie immeuble'!J15&gt;0,Feuil1!$AQ$13*('Saisie immeuble'!I15+'Saisie immeuble'!J15),0)</f>
        <v>0</v>
      </c>
      <c r="AR18" s="1">
        <f t="shared" si="9"/>
        <v>0</v>
      </c>
      <c r="AS18" s="99" t="e">
        <f>AR18*'Saisie immeuble'!$F$8+IF(AND(R18&lt;&gt;"gaz",(S18="gaz")),AA18,0)</f>
        <v>#N/A</v>
      </c>
      <c r="AT18" s="52">
        <f>IF('Saisie immeuble'!I15+'Saisie immeuble'!J15&gt;0,1100+700*('Saisie immeuble'!I15+'Saisie immeuble'!J15-1),0)</f>
        <v>0</v>
      </c>
      <c r="AU18" s="3" t="e">
        <f>IF(AW18="élec",Feuil1!V18,IF(AW18="gaz",Feuil1!AB18,IF(AW18="fioul",'Référence&amp;tarifs'!$B$25,IF(AW18="bois",('Référence&amp;tarifs'!$B$23+'Référence&amp;tarifs'!$B$24)/2,0))))</f>
        <v>#N/A</v>
      </c>
      <c r="AV18" s="1" t="e">
        <f>VLOOKUP('Saisie immeuble'!F15,Feuil1!$Q$57:$U$70,4,FALSE)</f>
        <v>#N/A</v>
      </c>
      <c r="AW18" s="1" t="e">
        <f>VLOOKUP('Saisie immeuble'!F15,Feuil1!$Q$57:$U$70,5,FALSE)</f>
        <v>#N/A</v>
      </c>
      <c r="AX18" s="97" t="e">
        <f t="shared" si="10"/>
        <v>#N/A</v>
      </c>
    </row>
    <row r="19" spans="2:50" x14ac:dyDescent="0.3">
      <c r="B19" s="52" t="s">
        <v>6</v>
      </c>
      <c r="C19" s="1">
        <f>IF('Saisie immeuble'!D16=Feuil1!$B$4,4,IF(AND('Saisie immeuble'!D16=$B$5,('Saisie immeuble'!$C$4=Feuil1!$C$5)),5,IF(AND('Saisie immeuble'!D16=$B$5,('Saisie immeuble'!$C$4=Feuil1!$C$6)),6,IF(AND('Saisie immeuble'!D16=Feuil1!$B$7,('Saisie immeuble'!$C$4=Feuil1!$C$7)),7,IF(AND('Saisie immeuble'!D16=Feuil1!$B$7,('Saisie immeuble'!$C$4=Feuil1!$C$8)),8,0)))))</f>
        <v>0</v>
      </c>
      <c r="D19" s="90" t="e">
        <f>HLOOKUP('Saisie immeuble'!$C$3,Feuil1!$D$1:$BM$8,Feuil1!C19,FALSE)</f>
        <v>#N/A</v>
      </c>
      <c r="E19" s="1" t="e">
        <f>HLOOKUP('Saisie immeuble'!$C$3,Feuil1!$D$1:$BM$8,3,FALSE)</f>
        <v>#N/A</v>
      </c>
      <c r="F19" s="1" t="e">
        <f>IF(E19=1,450+'Saisie immeuble'!C16*6,IF(E19=2,300+'Saisie immeuble'!C16*5,150+'Saisie immeuble'!C16*3))</f>
        <v>#N/A</v>
      </c>
      <c r="G19" s="1" t="e">
        <f>IF(E19=1,1400+'Saisie immeuble'!C16*6,IF(E19=2,1100+'Saisie immeuble'!C16*6,500+'Saisie immeuble'!C16*6))</f>
        <v>#N/A</v>
      </c>
      <c r="H19" s="90">
        <f>IF('Saisie immeuble'!$C$6="oui",IF('Saisie immeuble'!D16="dernier étage",IF(Feuil1!E19=1,0.4*Feuil1!D19,IF(Feuil1!E19=2,0.35*Feuil1!D19,IF(Feuil1!E19=3,0.3*Feuil1!D19,0))),0),0)</f>
        <v>0</v>
      </c>
      <c r="I19" s="90">
        <f>IF('Saisie immeuble'!$C$7="oui",IF(AND(Feuil1!E19=1,('Saisie immeuble'!$C$4=Feuil1!$C$5)),0.3*Feuil1!D19,IF(AND(Feuil1!E19=1,('Saisie immeuble'!$C$4=Feuil1!$C$6)),0.2*Feuil1!D19,IF(AND(Feuil1!E19=2,('Saisie immeuble'!$C$4=Feuil1!$C$5)),0.25*Feuil1!D19,IF(AND(Feuil1!E19=2,('Saisie immeuble'!$C$4=Feuil1!$C$6)),0.15*Feuil1!D19,IF(AND(Feuil1!E19=3,('Saisie immeuble'!$C$4=Feuil1!$C$5)),0.2*Feuil1!D19,IF(AND(Feuil1!E19=3,('Saisie immeuble'!$C$4=Feuil1!$C$6)),0.12*Feuil1!D19)))))),0)</f>
        <v>0</v>
      </c>
      <c r="J19" s="90">
        <f>IF('Saisie immeuble'!$C$8="oui",IF(AND(Feuil1!E19=1,('Saisie immeuble'!$C$4=Feuil1!$C$5)),0.22*Feuil1!D19,IF(AND(Feuil1!E19=1,('Saisie immeuble'!$C$4=Feuil1!$C$6)),0.14*Feuil1!D19,IF(AND(Feuil1!E19=2,('Saisie immeuble'!$C$4=Feuil1!$C$5)),0.2*Feuil1!D19,IF(AND(Feuil1!E19=2,('Saisie immeuble'!$C$4=Feuil1!$C$6)),0.12*Feuil1!D19,IF(AND(Feuil1!E19=3,('Saisie immeuble'!$C$4=Feuil1!$C$5)),0.16*Feuil1!D19,IF(AND(Feuil1!E19=3,('Saisie immeuble'!$C$4=Feuil1!$C$6)),0.1*Feuil1!D19)))))),0)</f>
        <v>0</v>
      </c>
      <c r="K19" s="90">
        <f>IF('Saisie immeuble'!$F$7="oui",IF('Saisie immeuble'!D16="rez de chaussée",IF(Feuil1!E19=1,0.2*Feuil1!D19,IF(Feuil1!E19=2,0.16*Feuil1!D19,IF(Feuil1!E19=3,0.12*Feuil1!D19,0))),0),0)</f>
        <v>0</v>
      </c>
      <c r="L19" s="1">
        <f>IF('Saisie immeuble'!C16&gt;0,IF('Saisie immeuble'!C16&gt;57,('Saisie immeuble'!C16-57)*55,('Saisie immeuble'!C16-57)*35),0)</f>
        <v>0</v>
      </c>
      <c r="M19" s="1">
        <f>IF('Saisie immeuble'!C16&gt;0,IF('Saisie immeuble'!$H$7=Feuil1!$B$78,IF(Feuil1!E19=1,700,IF(Feuil1!E19=2,550,400)),IF('Saisie immeuble'!$H$7=Feuil1!$B$79,IF(Feuil1!E19=1,350,IF(Feuil1!E19=2,275,200)),0))*(1-((57-'Saisie immeuble'!C16)/100)),0)</f>
        <v>0</v>
      </c>
      <c r="N19" s="90" t="e">
        <f>D19-IF('Saisie immeuble'!G16=Feuil1!$B$68,Feuil1!F19,IF('Saisie immeuble'!G16=Feuil1!$B$69,G19,0))-H19-I19-J19+L19-K19+M19</f>
        <v>#N/A</v>
      </c>
      <c r="O19" s="90" t="e">
        <f t="shared" si="6"/>
        <v>#N/A</v>
      </c>
      <c r="P19" s="90" t="e">
        <f>IF('Saisie immeuble'!$C$5="individuel",N19/AJ19,O19/AJ19)</f>
        <v>#N/A</v>
      </c>
      <c r="Q19" s="99" t="e">
        <f t="shared" si="7"/>
        <v>#N/A</v>
      </c>
      <c r="R19" s="96" t="e">
        <f>VLOOKUP('Saisie immeuble'!E16,Feuil1!$G$58:$I$75,3,0)</f>
        <v>#N/A</v>
      </c>
      <c r="S19" s="112" t="e">
        <f>VLOOKUP('Saisie immeuble'!F16,Feuil1!$Q$57:$U$70,5,FALSE)</f>
        <v>#N/A</v>
      </c>
      <c r="T19" s="1" t="e">
        <f>IF(AND(R19&lt;&gt;"élec",(S19&lt;&gt;"élec"),('Saisie immeuble'!C16&lt;40)),'Référence&amp;tarifs'!$A$6,IF(AND(R19="élec",(S19="élec")),'Référence&amp;tarifs'!$A$8,'Référence&amp;tarifs'!$A$7))</f>
        <v>#N/A</v>
      </c>
      <c r="U19" s="1" t="e">
        <f>VLOOKUP(T19,'Référence&amp;tarifs'!$A$6:$C$10,2,FALSE)</f>
        <v>#N/A</v>
      </c>
      <c r="V19" s="1" t="e">
        <f>VLOOKUP(T19,'Référence&amp;tarifs'!$A$6:$C$10,3,FALSE)</f>
        <v>#N/A</v>
      </c>
      <c r="W19" s="1"/>
      <c r="X19" s="51" t="e">
        <f>IF('Résultat immeuble'!N10&lt;1.1,HLOOKUP(Feuil1!T19,'Référence&amp;tarifs'!#REF!,2,FALSE),IF('Résultat immeuble'!N10&gt;1.9,HLOOKUP(Feuil1!T19,'Référence&amp;tarifs'!#REF!,4,FALSE),HLOOKUP(Feuil1!T19,'Référence&amp;tarifs'!#REF!,3,FALSE)))</f>
        <v>#N/A</v>
      </c>
      <c r="Y19" s="52" t="e">
        <f>IF(R19="gaz",N19,0)+IF(S19="gaz",AT19,0)+IF('Saisie immeuble'!H16="gaz de ville",Feuil1!AH19,0)</f>
        <v>#N/A</v>
      </c>
      <c r="Z19" s="1" t="e">
        <f>IF(Y19&lt;1000,'Référence&amp;tarifs'!$A$16,IF(Y19&gt;5999,'Référence&amp;tarifs'!$A$18,'Référence&amp;tarifs'!$A$17))</f>
        <v>#N/A</v>
      </c>
      <c r="AA19" s="1" t="e">
        <f>VLOOKUP(Z19,'Référence&amp;tarifs'!$A$16:$C$18,2,FALSE)</f>
        <v>#N/A</v>
      </c>
      <c r="AB19" s="1" t="e">
        <f>VLOOKUP(Z19,'Référence&amp;tarifs'!$A$16:$C$18,3,FALSE)</f>
        <v>#N/A</v>
      </c>
      <c r="AC19" s="58" t="b">
        <f>IF('Saisie immeuble'!$C$5="individuel",IF('Résultat immeuble'!N10=1,HLOOKUP(Feuil1!Z19,'Référence&amp;tarifs'!#REF!,2,FALSE),IF('Résultat immeuble'!N10&gt;1.9,HLOOKUP(Feuil1!Z19,'Référence&amp;tarifs'!#REF!,4,FALSE),HLOOKUP(Feuil1!Z19,'Référence&amp;tarifs'!#REF!,3,FALSE))),IF('Saisie immeuble'!$C$5="collectif",IF('Résultat immeuble'!N10=1,'Référence&amp;tarifs'!#REF!,IF('Résultat immeuble'!N10&gt;1.9,'Référence&amp;tarifs'!#REF!,IF(AND('Résultat immeuble'!N10&lt;2,('Résultat immeuble'!N10&gt;1)),'Référence&amp;tarifs'!#REF!,0)))))</f>
        <v>0</v>
      </c>
      <c r="AD19" s="109">
        <f>IF('Saisie immeuble'!I16+'Saisie immeuble'!J16&gt;0,18*'Saisie immeuble'!C16+3.5*('Saisie immeuble'!I16+'Saisie immeuble'!J16-1)*'Saisie immeuble'!C16,0)</f>
        <v>0</v>
      </c>
      <c r="AE19" s="110"/>
      <c r="AF19" s="111"/>
      <c r="AG19" s="97" t="e">
        <f t="shared" si="8"/>
        <v>#N/A</v>
      </c>
      <c r="AH19" s="52">
        <f>IF('Saisie immeuble'!I16+'Saisie immeuble'!J16&gt;0,350+80*('Saisie immeuble'!I16+'Saisie immeuble'!J16-1),0)</f>
        <v>0</v>
      </c>
      <c r="AI19" s="97" t="e">
        <f>IF('Saisie immeuble'!H16="gaz de ville",Feuil1!AB19,IF('Saisie immeuble'!H16=$B$72,V19,0))*Feuil1!AH19+IF(AND(R19&lt;&gt;"gaz",(S19&lt;&gt;"gaz"),('Saisie immeuble'!H16="gaz de ville")),Feuil1!AA19,0)</f>
        <v>#N/A</v>
      </c>
      <c r="AJ19" s="52" t="e">
        <f>VLOOKUP('Saisie immeuble'!E16,Feuil1!$G$58:$I$75,2,FALSE)</f>
        <v>#N/A</v>
      </c>
      <c r="AK19" s="1" t="e">
        <f>VLOOKUP('Saisie immeuble'!E16,Feuil1!$G$58:$I$75,3,FALSE)</f>
        <v>#N/A</v>
      </c>
      <c r="AL19" s="98" t="e">
        <f>IF(AK19="élec",V19,IF(AK19="gaz",AB19,IF(AK19="fioul",'Référence&amp;tarifs'!$B$25,IF(AK19="bois buche",'Référence&amp;tarifs'!$B$23,IF(AK19="bois granulés",'Référence&amp;tarifs'!$B$24,IF(AK19=I63,0.8*('Référence&amp;tarifs'!$B$23+'Référence&amp;tarifs'!B21)/2+0.2*Feuil1!AB19,0))))))</f>
        <v>#N/A</v>
      </c>
      <c r="AM19" s="52">
        <f>IF('Saisie immeuble'!I16+'Saisie immeuble'!J16&gt;0,Feuil1!$AM$13+2*('Saisie immeuble'!I16+'Saisie immeuble'!J16-1),0)</f>
        <v>0</v>
      </c>
      <c r="AN19" s="1">
        <f>IF('Saisie immeuble'!I16+'Saisie immeuble'!J16&gt;0,Feuil1!$AN$13*('Saisie immeuble'!I16+'Saisie immeuble'!J16),0)</f>
        <v>0</v>
      </c>
      <c r="AO19" s="1">
        <f>IF('Saisie immeuble'!I16+'Saisie immeuble'!J16&gt;0,Feuil1!$AO$13+3*('Saisie immeuble'!I16+'Saisie immeuble'!J16-1),0)</f>
        <v>0</v>
      </c>
      <c r="AP19" s="1">
        <f>IF('Saisie immeuble'!I16+'Saisie immeuble'!J16&gt;0,Feuil1!$AP$13+2*('Saisie immeuble'!I16+'Saisie immeuble'!J16-1),0)</f>
        <v>0</v>
      </c>
      <c r="AQ19" s="1">
        <f>IF('Saisie immeuble'!I16+'Saisie immeuble'!J16&gt;0,Feuil1!$AQ$13*('Saisie immeuble'!I16+'Saisie immeuble'!J16),0)</f>
        <v>0</v>
      </c>
      <c r="AR19" s="1">
        <f t="shared" si="9"/>
        <v>0</v>
      </c>
      <c r="AS19" s="99" t="e">
        <f>AR19*'Saisie immeuble'!$F$8+IF(AND(R19&lt;&gt;"gaz",(S19="gaz")),AA19,0)</f>
        <v>#N/A</v>
      </c>
      <c r="AT19" s="52">
        <f>IF('Saisie immeuble'!I16+'Saisie immeuble'!J16&gt;0,1100+700*('Saisie immeuble'!I16+'Saisie immeuble'!J16-1),0)</f>
        <v>0</v>
      </c>
      <c r="AU19" s="3" t="e">
        <f>IF(AW19="élec",Feuil1!V19,IF(AW19="gaz",Feuil1!AB19,IF(AW19="fioul",'Référence&amp;tarifs'!$B$25,IF(AW19="bois",('Référence&amp;tarifs'!$B$23+'Référence&amp;tarifs'!$B$24)/2,0))))</f>
        <v>#N/A</v>
      </c>
      <c r="AV19" s="1" t="e">
        <f>VLOOKUP('Saisie immeuble'!F16,Feuil1!$Q$57:$U$70,4,FALSE)</f>
        <v>#N/A</v>
      </c>
      <c r="AW19" s="1" t="e">
        <f>VLOOKUP('Saisie immeuble'!F16,Feuil1!$Q$57:$U$70,5,FALSE)</f>
        <v>#N/A</v>
      </c>
      <c r="AX19" s="97" t="e">
        <f t="shared" si="10"/>
        <v>#N/A</v>
      </c>
    </row>
    <row r="20" spans="2:50" x14ac:dyDescent="0.3">
      <c r="B20" s="52" t="s">
        <v>7</v>
      </c>
      <c r="C20" s="1">
        <f>IF('Saisie immeuble'!D17=Feuil1!$B$4,4,IF(AND('Saisie immeuble'!D17=$B$5,('Saisie immeuble'!$C$4=Feuil1!$C$5)),5,IF(AND('Saisie immeuble'!D17=$B$5,('Saisie immeuble'!$C$4=Feuil1!$C$6)),6,IF(AND('Saisie immeuble'!D17=Feuil1!$B$7,('Saisie immeuble'!$C$4=Feuil1!$C$7)),7,IF(AND('Saisie immeuble'!D17=Feuil1!$B$7,('Saisie immeuble'!$C$4=Feuil1!$C$8)),8,0)))))</f>
        <v>0</v>
      </c>
      <c r="D20" s="90" t="e">
        <f>HLOOKUP('Saisie immeuble'!$C$3,Feuil1!$D$1:$BM$8,Feuil1!C20,FALSE)</f>
        <v>#N/A</v>
      </c>
      <c r="E20" s="1" t="e">
        <f>HLOOKUP('Saisie immeuble'!$C$3,Feuil1!$D$1:$BM$8,3,FALSE)</f>
        <v>#N/A</v>
      </c>
      <c r="F20" s="1" t="e">
        <f>IF(E20=1,450+'Saisie immeuble'!C17*6,IF(E20=2,300+'Saisie immeuble'!C17*5,150+'Saisie immeuble'!C17*3))</f>
        <v>#N/A</v>
      </c>
      <c r="G20" s="1" t="e">
        <f>IF(E20=1,1400+'Saisie immeuble'!C17*6,IF(E20=2,1100+'Saisie immeuble'!C17*6,500+'Saisie immeuble'!C17*6))</f>
        <v>#N/A</v>
      </c>
      <c r="H20" s="90">
        <f>IF('Saisie immeuble'!$C$6="oui",IF('Saisie immeuble'!D17="dernier étage",IF(Feuil1!E20=1,0.4*Feuil1!D20,IF(Feuil1!E20=2,0.35*Feuil1!D20,IF(Feuil1!E20=3,0.3*Feuil1!D20,0))),0),0)</f>
        <v>0</v>
      </c>
      <c r="I20" s="90">
        <f>IF('Saisie immeuble'!$C$7="oui",IF(AND(Feuil1!E20=1,('Saisie immeuble'!$C$4=Feuil1!$C$5)),0.3*Feuil1!D20,IF(AND(Feuil1!E20=1,('Saisie immeuble'!$C$4=Feuil1!$C$6)),0.2*Feuil1!D20,IF(AND(Feuil1!E20=2,('Saisie immeuble'!$C$4=Feuil1!$C$5)),0.25*Feuil1!D20,IF(AND(Feuil1!E20=2,('Saisie immeuble'!$C$4=Feuil1!$C$6)),0.15*Feuil1!D20,IF(AND(Feuil1!E20=3,('Saisie immeuble'!$C$4=Feuil1!$C$5)),0.2*Feuil1!D20,IF(AND(Feuil1!E20=3,('Saisie immeuble'!$C$4=Feuil1!$C$6)),0.12*Feuil1!D20)))))),0)</f>
        <v>0</v>
      </c>
      <c r="J20" s="90">
        <f>IF('Saisie immeuble'!$C$8="oui",IF(AND(Feuil1!E20=1,('Saisie immeuble'!$C$4=Feuil1!$C$5)),0.22*Feuil1!D20,IF(AND(Feuil1!E20=1,('Saisie immeuble'!$C$4=Feuil1!$C$6)),0.14*Feuil1!D20,IF(AND(Feuil1!E20=2,('Saisie immeuble'!$C$4=Feuil1!$C$5)),0.2*Feuil1!D20,IF(AND(Feuil1!E20=2,('Saisie immeuble'!$C$4=Feuil1!$C$6)),0.12*Feuil1!D20,IF(AND(Feuil1!E20=3,('Saisie immeuble'!$C$4=Feuil1!$C$5)),0.16*Feuil1!D20,IF(AND(Feuil1!E20=3,('Saisie immeuble'!$C$4=Feuil1!$C$6)),0.1*Feuil1!D20)))))),0)</f>
        <v>0</v>
      </c>
      <c r="K20" s="90">
        <f>IF('Saisie immeuble'!$F$7="oui",IF('Saisie immeuble'!D17="rez de chaussée",IF(Feuil1!E20=1,0.2*Feuil1!D20,IF(Feuil1!E20=2,0.16*Feuil1!D20,IF(Feuil1!E20=3,0.12*Feuil1!D20,0))),0),0)</f>
        <v>0</v>
      </c>
      <c r="L20" s="1">
        <f>IF('Saisie immeuble'!C17&gt;0,IF('Saisie immeuble'!C17&gt;57,('Saisie immeuble'!C17-57)*55,('Saisie immeuble'!C17-57)*35),0)</f>
        <v>0</v>
      </c>
      <c r="M20" s="1">
        <f>IF('Saisie immeuble'!C17&gt;0,IF('Saisie immeuble'!$H$7=Feuil1!$B$78,IF(Feuil1!E20=1,700,IF(Feuil1!E20=2,550,400)),IF('Saisie immeuble'!$H$7=Feuil1!$B$79,IF(Feuil1!E20=1,350,IF(Feuil1!E20=2,275,200)),0))*(1-((57-'Saisie immeuble'!C17)/100)),0)</f>
        <v>0</v>
      </c>
      <c r="N20" s="90" t="e">
        <f>D20-IF('Saisie immeuble'!G17=Feuil1!$B$68,Feuil1!F20,IF('Saisie immeuble'!G17=Feuil1!$B$69,G20,0))-H20-I20-J20+L20-K20+M20</f>
        <v>#N/A</v>
      </c>
      <c r="O20" s="90" t="e">
        <f t="shared" si="6"/>
        <v>#N/A</v>
      </c>
      <c r="P20" s="90" t="e">
        <f>IF('Saisie immeuble'!$C$5="individuel",N20/AJ20,O20/AJ20)</f>
        <v>#N/A</v>
      </c>
      <c r="Q20" s="99" t="e">
        <f t="shared" si="7"/>
        <v>#N/A</v>
      </c>
      <c r="R20" s="52" t="e">
        <f>VLOOKUP('Saisie immeuble'!E17,Feuil1!$G$58:$I$75,3,0)</f>
        <v>#N/A</v>
      </c>
      <c r="S20" s="1" t="e">
        <f>VLOOKUP('Saisie immeuble'!F17,Feuil1!$Q$57:$U$70,5,FALSE)</f>
        <v>#N/A</v>
      </c>
      <c r="T20" s="1" t="e">
        <f>IF(AND(R20&lt;&gt;"élec",(S20&lt;&gt;"élec"),('Saisie immeuble'!C17&lt;40)),'Référence&amp;tarifs'!$A$6,IF(AND(R20="élec",(S20="élec")),'Référence&amp;tarifs'!$A$8,'Référence&amp;tarifs'!$A$7))</f>
        <v>#N/A</v>
      </c>
      <c r="U20" s="1" t="e">
        <f>VLOOKUP(T20,'Référence&amp;tarifs'!$A$6:$C$10,2,FALSE)</f>
        <v>#N/A</v>
      </c>
      <c r="V20" s="1" t="e">
        <f>VLOOKUP(T20,'Référence&amp;tarifs'!$A$6:$C$10,3,FALSE)</f>
        <v>#N/A</v>
      </c>
      <c r="W20" s="1"/>
      <c r="X20" s="51" t="e">
        <f>IF('Résultat immeuble'!N11&lt;1.1,HLOOKUP(Feuil1!T20,'Référence&amp;tarifs'!#REF!,2,FALSE),IF('Résultat immeuble'!N11&gt;1.9,HLOOKUP(Feuil1!T20,'Référence&amp;tarifs'!#REF!,4,FALSE),HLOOKUP(Feuil1!T20,'Référence&amp;tarifs'!#REF!,3,FALSE)))</f>
        <v>#N/A</v>
      </c>
      <c r="Y20" s="52" t="e">
        <f>IF(R20="gaz",N20,0)+IF(S20="gaz",AT20,0)+IF('Saisie immeuble'!H17="gaz de ville",Feuil1!AH20,0)</f>
        <v>#N/A</v>
      </c>
      <c r="Z20" s="1" t="e">
        <f>IF(Y20&lt;1000,'Référence&amp;tarifs'!$A$16,IF(Y20&gt;5999,'Référence&amp;tarifs'!$A$18,'Référence&amp;tarifs'!$A$17))</f>
        <v>#N/A</v>
      </c>
      <c r="AA20" s="1" t="e">
        <f>VLOOKUP(Z20,'Référence&amp;tarifs'!$A$16:$C$18,2,FALSE)</f>
        <v>#N/A</v>
      </c>
      <c r="AB20" s="1" t="e">
        <f>VLOOKUP(Z20,'Référence&amp;tarifs'!$A$16:$C$18,3,FALSE)</f>
        <v>#N/A</v>
      </c>
      <c r="AC20" s="58" t="b">
        <f>IF('Saisie immeuble'!$C$5="individuel",IF('Résultat immeuble'!N11=1,HLOOKUP(Feuil1!Z20,'Référence&amp;tarifs'!#REF!,2,FALSE),IF('Résultat immeuble'!N11&gt;1.9,HLOOKUP(Feuil1!Z20,'Référence&amp;tarifs'!#REF!,4,FALSE),HLOOKUP(Feuil1!Z20,'Référence&amp;tarifs'!#REF!,3,FALSE))),IF('Saisie immeuble'!$C$5="collectif",IF('Résultat immeuble'!N11=1,'Référence&amp;tarifs'!#REF!,IF('Résultat immeuble'!N11&gt;1.9,'Référence&amp;tarifs'!#REF!,IF(AND('Résultat immeuble'!N11&lt;2,('Résultat immeuble'!N11&gt;1)),'Référence&amp;tarifs'!#REF!,0)))))</f>
        <v>0</v>
      </c>
      <c r="AD20" s="109">
        <f>IF('Saisie immeuble'!I17+'Saisie immeuble'!J17&gt;0,18*'Saisie immeuble'!C17+3.5*('Saisie immeuble'!I17+'Saisie immeuble'!J17-1)*'Saisie immeuble'!C17,0)</f>
        <v>0</v>
      </c>
      <c r="AE20" s="110"/>
      <c r="AF20" s="111"/>
      <c r="AG20" s="97" t="e">
        <f t="shared" si="8"/>
        <v>#N/A</v>
      </c>
      <c r="AH20" s="52">
        <f>IF('Saisie immeuble'!I17+'Saisie immeuble'!J17&gt;0,350+80*('Saisie immeuble'!I17+'Saisie immeuble'!J17-1),0)</f>
        <v>0</v>
      </c>
      <c r="AI20" s="97" t="e">
        <f>IF('Saisie immeuble'!H17="gaz de ville",Feuil1!AB20,IF('Saisie immeuble'!H17=$B$72,V20,0))*Feuil1!AH20+IF(AND(R20&lt;&gt;"gaz",(S20&lt;&gt;"gaz"),('Saisie immeuble'!H17="gaz de ville")),Feuil1!AA20,0)</f>
        <v>#N/A</v>
      </c>
      <c r="AJ20" s="52" t="e">
        <f>VLOOKUP('Saisie immeuble'!E17,Feuil1!$G$58:$I$75,2,FALSE)</f>
        <v>#N/A</v>
      </c>
      <c r="AK20" s="1" t="e">
        <f>VLOOKUP('Saisie immeuble'!E17,Feuil1!$G$58:$I$75,3,FALSE)</f>
        <v>#N/A</v>
      </c>
      <c r="AL20" s="98" t="e">
        <f>IF(AK20="élec",V20,IF(AK20="gaz",AB20,IF(AK20="fioul",'Référence&amp;tarifs'!$B$25,IF(AK20="bois buche",'Référence&amp;tarifs'!$B$23,IF(AK20="bois granulés",'Référence&amp;tarifs'!$B$24,IF(AK20=I64,0.8*('Référence&amp;tarifs'!$B$23+'Référence&amp;tarifs'!B22)/2+0.2*Feuil1!AB20,0))))))</f>
        <v>#N/A</v>
      </c>
      <c r="AM20" s="52">
        <f>IF('Saisie immeuble'!I17+'Saisie immeuble'!J17&gt;0,Feuil1!$AM$13+2*('Saisie immeuble'!I17+'Saisie immeuble'!J17-1),0)</f>
        <v>0</v>
      </c>
      <c r="AN20" s="1">
        <f>IF('Saisie immeuble'!I17+'Saisie immeuble'!J17&gt;0,Feuil1!$AN$13*('Saisie immeuble'!I17+'Saisie immeuble'!J17),0)</f>
        <v>0</v>
      </c>
      <c r="AO20" s="1">
        <f>IF('Saisie immeuble'!I17+'Saisie immeuble'!J17&gt;0,Feuil1!$AO$13+3*('Saisie immeuble'!I17+'Saisie immeuble'!J17-1),0)</f>
        <v>0</v>
      </c>
      <c r="AP20" s="1">
        <f>IF('Saisie immeuble'!I17+'Saisie immeuble'!J17&gt;0,Feuil1!$AP$13+2*('Saisie immeuble'!I17+'Saisie immeuble'!J17-1),0)</f>
        <v>0</v>
      </c>
      <c r="AQ20" s="1">
        <f>IF('Saisie immeuble'!I17+'Saisie immeuble'!J17&gt;0,Feuil1!$AQ$13*('Saisie immeuble'!I17+'Saisie immeuble'!J17),0)</f>
        <v>0</v>
      </c>
      <c r="AR20" s="1">
        <f t="shared" si="9"/>
        <v>0</v>
      </c>
      <c r="AS20" s="99" t="e">
        <f>AR20*'Saisie immeuble'!$F$8+IF(AND(R20&lt;&gt;"gaz",(S20="gaz")),AA20,0)</f>
        <v>#N/A</v>
      </c>
      <c r="AT20" s="52">
        <f>IF('Saisie immeuble'!I17+'Saisie immeuble'!J17&gt;0,1100+700*('Saisie immeuble'!I17+'Saisie immeuble'!J17-1),0)</f>
        <v>0</v>
      </c>
      <c r="AU20" s="3" t="e">
        <f>IF(AW20="élec",Feuil1!V20,IF(AW20="gaz",Feuil1!AB20,IF(AW20="fioul",'Référence&amp;tarifs'!$B$25,IF(AW20="bois",('Référence&amp;tarifs'!$B$23+'Référence&amp;tarifs'!$B$24)/2,0))))</f>
        <v>#N/A</v>
      </c>
      <c r="AV20" s="1" t="e">
        <f>VLOOKUP('Saisie immeuble'!F17,Feuil1!$Q$57:$U$70,4,FALSE)</f>
        <v>#N/A</v>
      </c>
      <c r="AW20" s="1" t="e">
        <f>VLOOKUP('Saisie immeuble'!F17,Feuil1!$Q$57:$U$70,5,FALSE)</f>
        <v>#N/A</v>
      </c>
      <c r="AX20" s="97" t="e">
        <f t="shared" si="10"/>
        <v>#N/A</v>
      </c>
    </row>
    <row r="21" spans="2:50" x14ac:dyDescent="0.3">
      <c r="B21" s="52" t="s">
        <v>8</v>
      </c>
      <c r="C21" s="1">
        <f>IF('Saisie immeuble'!D18=Feuil1!$B$4,4,IF(AND('Saisie immeuble'!D18=$B$5,('Saisie immeuble'!$C$4=Feuil1!$C$5)),5,IF(AND('Saisie immeuble'!D18=$B$5,('Saisie immeuble'!$C$4=Feuil1!$C$6)),6,IF(AND('Saisie immeuble'!D18=Feuil1!$B$7,('Saisie immeuble'!$C$4=Feuil1!$C$7)),7,IF(AND('Saisie immeuble'!D18=Feuil1!$B$7,('Saisie immeuble'!$C$4=Feuil1!$C$8)),8,0)))))</f>
        <v>0</v>
      </c>
      <c r="D21" s="90" t="e">
        <f>HLOOKUP('Saisie immeuble'!$C$3,Feuil1!$D$1:$BM$8,Feuil1!C21,FALSE)</f>
        <v>#N/A</v>
      </c>
      <c r="E21" s="1" t="e">
        <f>HLOOKUP('Saisie immeuble'!$C$3,Feuil1!$D$1:$BM$8,3,FALSE)</f>
        <v>#N/A</v>
      </c>
      <c r="F21" s="1" t="e">
        <f>IF(E21=1,450+'Saisie immeuble'!C18*6,IF(E21=2,300+'Saisie immeuble'!C18*5,150+'Saisie immeuble'!C18*3))</f>
        <v>#N/A</v>
      </c>
      <c r="G21" s="1" t="e">
        <f>IF(E21=1,1400+'Saisie immeuble'!C18*6,IF(E21=2,1100+'Saisie immeuble'!C18*6,500+'Saisie immeuble'!C18*6))</f>
        <v>#N/A</v>
      </c>
      <c r="H21" s="90">
        <f>IF('Saisie immeuble'!$C$6="oui",IF('Saisie immeuble'!D18="dernier étage",IF(Feuil1!E21=1,0.4*Feuil1!D21,IF(Feuil1!E21=2,0.35*Feuil1!D21,IF(Feuil1!E21=3,0.3*Feuil1!D21,0))),0),0)</f>
        <v>0</v>
      </c>
      <c r="I21" s="90">
        <f>IF('Saisie immeuble'!$C$7="oui",IF(AND(Feuil1!E21=1,('Saisie immeuble'!$C$4=Feuil1!$C$5)),0.3*Feuil1!D21,IF(AND(Feuil1!E21=1,('Saisie immeuble'!$C$4=Feuil1!$C$6)),0.2*Feuil1!D21,IF(AND(Feuil1!E21=2,('Saisie immeuble'!$C$4=Feuil1!$C$5)),0.25*Feuil1!D21,IF(AND(Feuil1!E21=2,('Saisie immeuble'!$C$4=Feuil1!$C$6)),0.15*Feuil1!D21,IF(AND(Feuil1!E21=3,('Saisie immeuble'!$C$4=Feuil1!$C$5)),0.2*Feuil1!D21,IF(AND(Feuil1!E21=3,('Saisie immeuble'!$C$4=Feuil1!$C$6)),0.12*Feuil1!D21)))))),0)</f>
        <v>0</v>
      </c>
      <c r="J21" s="90">
        <f>IF('Saisie immeuble'!$C$8="oui",IF(AND(Feuil1!E21=1,('Saisie immeuble'!$C$4=Feuil1!$C$5)),0.22*Feuil1!D21,IF(AND(Feuil1!E21=1,('Saisie immeuble'!$C$4=Feuil1!$C$6)),0.14*Feuil1!D21,IF(AND(Feuil1!E21=2,('Saisie immeuble'!$C$4=Feuil1!$C$5)),0.2*Feuil1!D21,IF(AND(Feuil1!E21=2,('Saisie immeuble'!$C$4=Feuil1!$C$6)),0.12*Feuil1!D21,IF(AND(Feuil1!E21=3,('Saisie immeuble'!$C$4=Feuil1!$C$5)),0.16*Feuil1!D21,IF(AND(Feuil1!E21=3,('Saisie immeuble'!$C$4=Feuil1!$C$6)),0.1*Feuil1!D21)))))),0)</f>
        <v>0</v>
      </c>
      <c r="K21" s="90">
        <f>IF('Saisie immeuble'!$F$7="oui",IF('Saisie immeuble'!D18="rez de chaussée",IF(Feuil1!E21=1,0.2*Feuil1!D21,IF(Feuil1!E21=2,0.16*Feuil1!D21,IF(Feuil1!E21=3,0.12*Feuil1!D21,0))),0),0)</f>
        <v>0</v>
      </c>
      <c r="L21" s="1">
        <f>IF('Saisie immeuble'!C18&gt;0,IF('Saisie immeuble'!C18&gt;57,('Saisie immeuble'!C18-57)*55,('Saisie immeuble'!C18-57)*35),0)</f>
        <v>0</v>
      </c>
      <c r="M21" s="1">
        <f>IF('Saisie immeuble'!C18&gt;0,IF('Saisie immeuble'!$H$7=Feuil1!$B$78,IF(Feuil1!E21=1,700,IF(Feuil1!E21=2,550,400)),IF('Saisie immeuble'!$H$7=Feuil1!$B$79,IF(Feuil1!E21=1,350,IF(Feuil1!E21=2,275,200)),0))*(1-((57-'Saisie immeuble'!C18)/100)),0)</f>
        <v>0</v>
      </c>
      <c r="N21" s="90" t="e">
        <f>D21-IF('Saisie immeuble'!G18=Feuil1!$B$68,Feuil1!F21,IF('Saisie immeuble'!G18=Feuil1!$B$69,G21,0))-H21-I21-J21+L21-K21+M21</f>
        <v>#N/A</v>
      </c>
      <c r="O21" s="90" t="e">
        <f t="shared" si="6"/>
        <v>#N/A</v>
      </c>
      <c r="P21" s="90" t="e">
        <f>IF('Saisie immeuble'!$C$5="individuel",N21/AJ21,O21/AJ21)</f>
        <v>#N/A</v>
      </c>
      <c r="Q21" s="99" t="e">
        <f t="shared" si="7"/>
        <v>#N/A</v>
      </c>
      <c r="R21" s="52" t="e">
        <f>VLOOKUP('Saisie immeuble'!E18,Feuil1!$G$58:$I$75,3,0)</f>
        <v>#N/A</v>
      </c>
      <c r="S21" s="1" t="e">
        <f>VLOOKUP('Saisie immeuble'!F18,Feuil1!$Q$57:$U$70,5,FALSE)</f>
        <v>#N/A</v>
      </c>
      <c r="T21" s="1" t="e">
        <f>IF(AND(R21&lt;&gt;"élec",(S21&lt;&gt;"élec"),('Saisie immeuble'!C18&lt;40)),'Référence&amp;tarifs'!$A$6,IF(AND(R21="élec",(S21="élec")),'Référence&amp;tarifs'!$A$8,'Référence&amp;tarifs'!$A$7))</f>
        <v>#N/A</v>
      </c>
      <c r="U21" s="1" t="e">
        <f>VLOOKUP(T21,'Référence&amp;tarifs'!$A$6:$C$10,2,FALSE)</f>
        <v>#N/A</v>
      </c>
      <c r="V21" s="1" t="e">
        <f>VLOOKUP(T21,'Référence&amp;tarifs'!$A$6:$C$10,3,FALSE)</f>
        <v>#N/A</v>
      </c>
      <c r="W21" s="1"/>
      <c r="X21" s="51" t="e">
        <f>IF('Résultat immeuble'!N12&lt;1.1,HLOOKUP(Feuil1!T21,'Référence&amp;tarifs'!#REF!,2,FALSE),IF('Résultat immeuble'!N12&gt;1.9,HLOOKUP(Feuil1!T21,'Référence&amp;tarifs'!#REF!,4,FALSE),HLOOKUP(Feuil1!T21,'Référence&amp;tarifs'!#REF!,3,FALSE)))</f>
        <v>#N/A</v>
      </c>
      <c r="Y21" s="52" t="e">
        <f>IF(R21="gaz",N21,0)+IF(S21="gaz",AT21,0)+IF('Saisie immeuble'!H18="gaz de ville",Feuil1!AH21,0)</f>
        <v>#N/A</v>
      </c>
      <c r="Z21" s="1" t="e">
        <f>IF(Y21&lt;1000,'Référence&amp;tarifs'!$A$16,IF(Y21&gt;5999,'Référence&amp;tarifs'!$A$18,'Référence&amp;tarifs'!$A$17))</f>
        <v>#N/A</v>
      </c>
      <c r="AA21" s="1" t="e">
        <f>VLOOKUP(Z21,'Référence&amp;tarifs'!$A$16:$C$18,2,FALSE)</f>
        <v>#N/A</v>
      </c>
      <c r="AB21" s="1" t="e">
        <f>VLOOKUP(Z21,'Référence&amp;tarifs'!$A$16:$C$18,3,FALSE)</f>
        <v>#N/A</v>
      </c>
      <c r="AC21" s="58" t="b">
        <f>IF('Saisie immeuble'!$C$5="individuel",IF('Résultat immeuble'!N12=1,HLOOKUP(Feuil1!Z21,'Référence&amp;tarifs'!#REF!,2,FALSE),IF('Résultat immeuble'!N12&gt;1.9,HLOOKUP(Feuil1!Z21,'Référence&amp;tarifs'!#REF!,4,FALSE),HLOOKUP(Feuil1!Z21,'Référence&amp;tarifs'!#REF!,3,FALSE))),IF('Saisie immeuble'!$C$5="collectif",IF('Résultat immeuble'!N12=1,'Référence&amp;tarifs'!#REF!,IF('Résultat immeuble'!N12&gt;1.9,'Référence&amp;tarifs'!#REF!,IF(AND('Résultat immeuble'!N12&lt;2,('Résultat immeuble'!N12&gt;1)),'Référence&amp;tarifs'!#REF!,0)))))</f>
        <v>0</v>
      </c>
      <c r="AD21" s="109">
        <f>IF('Saisie immeuble'!I18+'Saisie immeuble'!J18&gt;0,18*'Saisie immeuble'!C18+3.5*('Saisie immeuble'!I18+'Saisie immeuble'!J18-1)*'Saisie immeuble'!C18,0)</f>
        <v>0</v>
      </c>
      <c r="AE21" s="110"/>
      <c r="AF21" s="111"/>
      <c r="AG21" s="97" t="e">
        <f t="shared" si="8"/>
        <v>#N/A</v>
      </c>
      <c r="AH21" s="52">
        <f>IF('Saisie immeuble'!I18+'Saisie immeuble'!J18&gt;0,350+80*('Saisie immeuble'!I18+'Saisie immeuble'!J18-1),0)</f>
        <v>0</v>
      </c>
      <c r="AI21" s="97" t="e">
        <f>IF('Saisie immeuble'!H18="gaz de ville",Feuil1!AB21,IF('Saisie immeuble'!H18=$B$72,V21,0))*Feuil1!AH21+IF(AND(R21&lt;&gt;"gaz",(S21&lt;&gt;"gaz"),('Saisie immeuble'!H18="gaz de ville")),Feuil1!AA21,0)</f>
        <v>#N/A</v>
      </c>
      <c r="AJ21" s="52" t="e">
        <f>VLOOKUP('Saisie immeuble'!E18,Feuil1!$G$58:$I$75,2,FALSE)</f>
        <v>#N/A</v>
      </c>
      <c r="AK21" s="1" t="e">
        <f>VLOOKUP('Saisie immeuble'!E18,Feuil1!$G$58:$I$75,3,FALSE)</f>
        <v>#N/A</v>
      </c>
      <c r="AL21" s="98" t="e">
        <f>IF(AK21="élec",V21,IF(AK21="gaz",AB21,IF(AK21="fioul",'Référence&amp;tarifs'!$B$25,IF(AK21="bois buche",'Référence&amp;tarifs'!$B$23,IF(AK21="bois granulés",'Référence&amp;tarifs'!$B$24,IF(AK21=I65,0.8*('Référence&amp;tarifs'!$B$23+'Référence&amp;tarifs'!B23)/2+0.2*Feuil1!AB21,0))))))</f>
        <v>#N/A</v>
      </c>
      <c r="AM21" s="52">
        <f>IF('Saisie immeuble'!I18+'Saisie immeuble'!J18&gt;0,Feuil1!$AM$13+2*('Saisie immeuble'!I18+'Saisie immeuble'!J18-1),0)</f>
        <v>0</v>
      </c>
      <c r="AN21" s="1">
        <f>IF('Saisie immeuble'!I18+'Saisie immeuble'!J18&gt;0,Feuil1!$AN$13*('Saisie immeuble'!I18+'Saisie immeuble'!J18),0)</f>
        <v>0</v>
      </c>
      <c r="AO21" s="1">
        <f>IF('Saisie immeuble'!I18+'Saisie immeuble'!J18&gt;0,Feuil1!$AO$13+3*('Saisie immeuble'!I18+'Saisie immeuble'!J18-1),0)</f>
        <v>0</v>
      </c>
      <c r="AP21" s="1">
        <f>IF('Saisie immeuble'!I18+'Saisie immeuble'!J18&gt;0,Feuil1!$AP$13+2*('Saisie immeuble'!I18+'Saisie immeuble'!J18-1),0)</f>
        <v>0</v>
      </c>
      <c r="AQ21" s="1">
        <f>IF('Saisie immeuble'!I18+'Saisie immeuble'!J18&gt;0,Feuil1!$AQ$13*('Saisie immeuble'!I18+'Saisie immeuble'!J18),0)</f>
        <v>0</v>
      </c>
      <c r="AR21" s="1">
        <f t="shared" si="9"/>
        <v>0</v>
      </c>
      <c r="AS21" s="99" t="e">
        <f>AR21*'Saisie immeuble'!$F$8+IF(AND(R21&lt;&gt;"gaz",(S21="gaz")),AA21,0)</f>
        <v>#N/A</v>
      </c>
      <c r="AT21" s="52">
        <f>IF('Saisie immeuble'!I18+'Saisie immeuble'!J18&gt;0,1100+700*('Saisie immeuble'!I18+'Saisie immeuble'!J18-1),0)</f>
        <v>0</v>
      </c>
      <c r="AU21" s="3" t="e">
        <f>IF(AW21="élec",Feuil1!V21,IF(AW21="gaz",Feuil1!AB21,IF(AW21="fioul",'Référence&amp;tarifs'!$B$25,IF(AW21="bois",('Référence&amp;tarifs'!$B$23+'Référence&amp;tarifs'!$B$24)/2,0))))</f>
        <v>#N/A</v>
      </c>
      <c r="AV21" s="1" t="e">
        <f>VLOOKUP('Saisie immeuble'!F18,Feuil1!$Q$57:$U$70,4,FALSE)</f>
        <v>#N/A</v>
      </c>
      <c r="AW21" s="1" t="e">
        <f>VLOOKUP('Saisie immeuble'!F18,Feuil1!$Q$57:$U$70,5,FALSE)</f>
        <v>#N/A</v>
      </c>
      <c r="AX21" s="97" t="e">
        <f t="shared" si="10"/>
        <v>#N/A</v>
      </c>
    </row>
    <row r="22" spans="2:50" x14ac:dyDescent="0.3">
      <c r="B22" s="52" t="s">
        <v>9</v>
      </c>
      <c r="C22" s="1">
        <f>IF('Saisie immeuble'!D19=Feuil1!$B$4,4,IF(AND('Saisie immeuble'!D19=$B$5,('Saisie immeuble'!$C$4=Feuil1!$C$5)),5,IF(AND('Saisie immeuble'!D19=$B$5,('Saisie immeuble'!$C$4=Feuil1!$C$6)),6,IF(AND('Saisie immeuble'!D19=Feuil1!$B$7,('Saisie immeuble'!$C$4=Feuil1!$C$7)),7,IF(AND('Saisie immeuble'!D19=Feuil1!$B$7,('Saisie immeuble'!$C$4=Feuil1!$C$8)),8,0)))))</f>
        <v>0</v>
      </c>
      <c r="D22" s="90" t="e">
        <f>HLOOKUP('Saisie immeuble'!$C$3,Feuil1!$D$1:$BM$8,Feuil1!C22,FALSE)</f>
        <v>#N/A</v>
      </c>
      <c r="E22" s="1" t="e">
        <f>HLOOKUP('Saisie immeuble'!$C$3,Feuil1!$D$1:$BM$8,3,FALSE)</f>
        <v>#N/A</v>
      </c>
      <c r="F22" s="1" t="e">
        <f>IF(E22=1,450+'Saisie immeuble'!C19*6,IF(E22=2,300+'Saisie immeuble'!C19*5,150+'Saisie immeuble'!C19*3))</f>
        <v>#N/A</v>
      </c>
      <c r="G22" s="1" t="e">
        <f>IF(E22=1,1400+'Saisie immeuble'!C19*6,IF(E22=2,1100+'Saisie immeuble'!C19*6,500+'Saisie immeuble'!C19*6))</f>
        <v>#N/A</v>
      </c>
      <c r="H22" s="90">
        <f>IF('Saisie immeuble'!$C$6="oui",IF('Saisie immeuble'!D19="dernier étage",IF(Feuil1!E22=1,0.4*Feuil1!D22,IF(Feuil1!E22=2,0.35*Feuil1!D22,IF(Feuil1!E22=3,0.3*Feuil1!D22,0))),0),0)</f>
        <v>0</v>
      </c>
      <c r="I22" s="90">
        <f>IF('Saisie immeuble'!$C$7="oui",IF(AND(Feuil1!E22=1,('Saisie immeuble'!$C$4=Feuil1!$C$5)),0.3*Feuil1!D22,IF(AND(Feuil1!E22=1,('Saisie immeuble'!$C$4=Feuil1!$C$6)),0.2*Feuil1!D22,IF(AND(Feuil1!E22=2,('Saisie immeuble'!$C$4=Feuil1!$C$5)),0.25*Feuil1!D22,IF(AND(Feuil1!E22=2,('Saisie immeuble'!$C$4=Feuil1!$C$6)),0.15*Feuil1!D22,IF(AND(Feuil1!E22=3,('Saisie immeuble'!$C$4=Feuil1!$C$5)),0.2*Feuil1!D22,IF(AND(Feuil1!E22=3,('Saisie immeuble'!$C$4=Feuil1!$C$6)),0.12*Feuil1!D22)))))),0)</f>
        <v>0</v>
      </c>
      <c r="J22" s="90">
        <f>IF('Saisie immeuble'!$C$8="oui",IF(AND(Feuil1!E22=1,('Saisie immeuble'!$C$4=Feuil1!$C$5)),0.22*Feuil1!D22,IF(AND(Feuil1!E22=1,('Saisie immeuble'!$C$4=Feuil1!$C$6)),0.14*Feuil1!D22,IF(AND(Feuil1!E22=2,('Saisie immeuble'!$C$4=Feuil1!$C$5)),0.2*Feuil1!D22,IF(AND(Feuil1!E22=2,('Saisie immeuble'!$C$4=Feuil1!$C$6)),0.12*Feuil1!D22,IF(AND(Feuil1!E22=3,('Saisie immeuble'!$C$4=Feuil1!$C$5)),0.16*Feuil1!D22,IF(AND(Feuil1!E22=3,('Saisie immeuble'!$C$4=Feuil1!$C$6)),0.1*Feuil1!D22)))))),0)</f>
        <v>0</v>
      </c>
      <c r="K22" s="90">
        <f>IF('Saisie immeuble'!$F$7="oui",IF('Saisie immeuble'!D19="rez de chaussée",IF(Feuil1!E22=1,0.2*Feuil1!D22,IF(Feuil1!E22=2,0.16*Feuil1!D22,IF(Feuil1!E22=3,0.12*Feuil1!D22,0))),0),0)</f>
        <v>0</v>
      </c>
      <c r="L22" s="1">
        <f>IF('Saisie immeuble'!C19&gt;0,IF('Saisie immeuble'!C19&gt;57,('Saisie immeuble'!C19-57)*55,('Saisie immeuble'!C19-57)*35),0)</f>
        <v>0</v>
      </c>
      <c r="M22" s="1">
        <f>IF('Saisie immeuble'!C19&gt;0,IF('Saisie immeuble'!$H$7=Feuil1!$B$78,IF(Feuil1!E22=1,700,IF(Feuil1!E22=2,550,400)),IF('Saisie immeuble'!$H$7=Feuil1!$B$79,IF(Feuil1!E22=1,350,IF(Feuil1!E22=2,275,200)),0))*(1-((57-'Saisie immeuble'!C19)/100)),0)</f>
        <v>0</v>
      </c>
      <c r="N22" s="90" t="e">
        <f>D22-IF('Saisie immeuble'!G19=Feuil1!$B$68,Feuil1!F22,IF('Saisie immeuble'!G19=Feuil1!$B$69,G22,0))-H22-I22-J22+L22-K22+M22</f>
        <v>#N/A</v>
      </c>
      <c r="O22" s="90" t="e">
        <f t="shared" si="6"/>
        <v>#N/A</v>
      </c>
      <c r="P22" s="90" t="e">
        <f>IF('Saisie immeuble'!$C$5="individuel",N22/AJ22,O22/AJ22)</f>
        <v>#N/A</v>
      </c>
      <c r="Q22" s="99" t="e">
        <f t="shared" si="7"/>
        <v>#N/A</v>
      </c>
      <c r="R22" s="52" t="e">
        <f>VLOOKUP('Saisie immeuble'!E19,Feuil1!$G$58:$I$75,3,0)</f>
        <v>#N/A</v>
      </c>
      <c r="S22" s="1" t="e">
        <f>VLOOKUP('Saisie immeuble'!F19,Feuil1!$Q$57:$U$70,5,FALSE)</f>
        <v>#N/A</v>
      </c>
      <c r="T22" s="1" t="e">
        <f>IF(AND(R22&lt;&gt;"élec",(S22&lt;&gt;"élec"),('Saisie immeuble'!C19&lt;40)),'Référence&amp;tarifs'!$A$6,IF(AND(R22="élec",(S22="élec")),'Référence&amp;tarifs'!$A$8,'Référence&amp;tarifs'!$A$7))</f>
        <v>#N/A</v>
      </c>
      <c r="U22" s="1" t="e">
        <f>VLOOKUP(T22,'Référence&amp;tarifs'!$A$6:$C$10,2,FALSE)</f>
        <v>#N/A</v>
      </c>
      <c r="V22" s="1" t="e">
        <f>VLOOKUP(T22,'Référence&amp;tarifs'!$A$6:$C$10,3,FALSE)</f>
        <v>#N/A</v>
      </c>
      <c r="W22" s="1"/>
      <c r="X22" s="51" t="e">
        <f>IF('Résultat immeuble'!N13&lt;1.1,HLOOKUP(Feuil1!T22,'Référence&amp;tarifs'!#REF!,2,FALSE),IF('Résultat immeuble'!N13&gt;1.9,HLOOKUP(Feuil1!T22,'Référence&amp;tarifs'!#REF!,4,FALSE),HLOOKUP(Feuil1!T22,'Référence&amp;tarifs'!#REF!,3,FALSE)))</f>
        <v>#N/A</v>
      </c>
      <c r="Y22" s="52" t="e">
        <f>IF(R22="gaz",N22,0)+IF(S22="gaz",AT22,0)+IF('Saisie immeuble'!H19="gaz de ville",Feuil1!AH22,0)</f>
        <v>#N/A</v>
      </c>
      <c r="Z22" s="1" t="e">
        <f>IF(Y22&lt;1000,'Référence&amp;tarifs'!$A$16,IF(Y22&gt;5999,'Référence&amp;tarifs'!$A$18,'Référence&amp;tarifs'!$A$17))</f>
        <v>#N/A</v>
      </c>
      <c r="AA22" s="1" t="e">
        <f>VLOOKUP(Z22,'Référence&amp;tarifs'!$A$16:$C$18,2,FALSE)</f>
        <v>#N/A</v>
      </c>
      <c r="AB22" s="1" t="e">
        <f>VLOOKUP(Z22,'Référence&amp;tarifs'!$A$16:$C$18,3,FALSE)</f>
        <v>#N/A</v>
      </c>
      <c r="AC22" s="58" t="b">
        <f>IF('Saisie immeuble'!$C$5="individuel",IF('Résultat immeuble'!N13=1,HLOOKUP(Feuil1!Z22,'Référence&amp;tarifs'!#REF!,2,FALSE),IF('Résultat immeuble'!N13&gt;1.9,HLOOKUP(Feuil1!Z22,'Référence&amp;tarifs'!#REF!,4,FALSE),HLOOKUP(Feuil1!Z22,'Référence&amp;tarifs'!#REF!,3,FALSE))),IF('Saisie immeuble'!$C$5="collectif",IF('Résultat immeuble'!N13=1,'Référence&amp;tarifs'!#REF!,IF('Résultat immeuble'!N13&gt;1.9,'Référence&amp;tarifs'!#REF!,IF(AND('Résultat immeuble'!N13&lt;2,('Résultat immeuble'!N13&gt;1)),'Référence&amp;tarifs'!#REF!,0)))))</f>
        <v>0</v>
      </c>
      <c r="AD22" s="109">
        <f>IF('Saisie immeuble'!I19+'Saisie immeuble'!J19&gt;0,18*'Saisie immeuble'!C19+3.5*('Saisie immeuble'!I19+'Saisie immeuble'!J19-1)*'Saisie immeuble'!C19,0)</f>
        <v>0</v>
      </c>
      <c r="AE22" s="110"/>
      <c r="AF22" s="111"/>
      <c r="AG22" s="97" t="e">
        <f t="shared" si="8"/>
        <v>#N/A</v>
      </c>
      <c r="AH22" s="52">
        <f>IF('Saisie immeuble'!I19+'Saisie immeuble'!J19&gt;0,350+80*('Saisie immeuble'!I19+'Saisie immeuble'!J19-1),0)</f>
        <v>0</v>
      </c>
      <c r="AI22" s="97" t="e">
        <f>IF('Saisie immeuble'!H19="gaz de ville",Feuil1!AB22,IF('Saisie immeuble'!H19=$B$72,V22,0))*Feuil1!AH22+IF(AND(R22&lt;&gt;"gaz",(S22&lt;&gt;"gaz"),('Saisie immeuble'!H19="gaz de ville")),Feuil1!AA22,0)</f>
        <v>#N/A</v>
      </c>
      <c r="AJ22" s="52" t="e">
        <f>VLOOKUP('Saisie immeuble'!E19,Feuil1!$G$58:$I$75,2,FALSE)</f>
        <v>#N/A</v>
      </c>
      <c r="AK22" s="1" t="e">
        <f>VLOOKUP('Saisie immeuble'!E19,Feuil1!$G$58:$I$75,3,FALSE)</f>
        <v>#N/A</v>
      </c>
      <c r="AL22" s="98" t="e">
        <f>IF(AK22="élec",V22,IF(AK22="gaz",AB22,IF(AK22="fioul",'Référence&amp;tarifs'!$B$25,IF(AK22="bois buche",'Référence&amp;tarifs'!$B$23,IF(AK22="bois granulés",'Référence&amp;tarifs'!$B$24,IF(AK22=I66,0.8*('Référence&amp;tarifs'!$B$23+'Référence&amp;tarifs'!B24)/2+0.2*Feuil1!AB22,0))))))</f>
        <v>#N/A</v>
      </c>
      <c r="AM22" s="52">
        <f>IF('Saisie immeuble'!I19+'Saisie immeuble'!J19&gt;0,Feuil1!$AM$13+2*('Saisie immeuble'!I19+'Saisie immeuble'!J19-1),0)</f>
        <v>0</v>
      </c>
      <c r="AN22" s="1">
        <f>IF('Saisie immeuble'!I19+'Saisie immeuble'!J19&gt;0,Feuil1!$AN$13*('Saisie immeuble'!I19+'Saisie immeuble'!J19),0)</f>
        <v>0</v>
      </c>
      <c r="AO22" s="1">
        <f>IF('Saisie immeuble'!I19+'Saisie immeuble'!J19&gt;0,Feuil1!$AO$13+3*('Saisie immeuble'!I19+'Saisie immeuble'!J19-1),0)</f>
        <v>0</v>
      </c>
      <c r="AP22" s="1">
        <f>IF('Saisie immeuble'!I19+'Saisie immeuble'!J19&gt;0,Feuil1!$AP$13+2*('Saisie immeuble'!I19+'Saisie immeuble'!J19-1),0)</f>
        <v>0</v>
      </c>
      <c r="AQ22" s="1">
        <f>IF('Saisie immeuble'!I19+'Saisie immeuble'!J19&gt;0,Feuil1!$AQ$13*('Saisie immeuble'!I19+'Saisie immeuble'!J19),0)</f>
        <v>0</v>
      </c>
      <c r="AR22" s="1">
        <f t="shared" si="9"/>
        <v>0</v>
      </c>
      <c r="AS22" s="99" t="e">
        <f>AR22*'Saisie immeuble'!$F$8+IF(AND(R22&lt;&gt;"gaz",(S22="gaz")),AA22,0)</f>
        <v>#N/A</v>
      </c>
      <c r="AT22" s="52">
        <f>IF('Saisie immeuble'!I19+'Saisie immeuble'!J19&gt;0,1100+700*('Saisie immeuble'!I19+'Saisie immeuble'!J19-1),0)</f>
        <v>0</v>
      </c>
      <c r="AU22" s="3" t="e">
        <f>IF(AW22="élec",Feuil1!V22,IF(AW22="gaz",Feuil1!AB22,IF(AW22="fioul",'Référence&amp;tarifs'!$B$25,IF(AW22="bois",('Référence&amp;tarifs'!$B$23+'Référence&amp;tarifs'!$B$24)/2,0))))</f>
        <v>#N/A</v>
      </c>
      <c r="AV22" s="1" t="e">
        <f>VLOOKUP('Saisie immeuble'!F19,Feuil1!$Q$57:$U$70,4,FALSE)</f>
        <v>#N/A</v>
      </c>
      <c r="AW22" s="1" t="e">
        <f>VLOOKUP('Saisie immeuble'!F19,Feuil1!$Q$57:$U$70,5,FALSE)</f>
        <v>#N/A</v>
      </c>
      <c r="AX22" s="97" t="e">
        <f t="shared" si="10"/>
        <v>#N/A</v>
      </c>
    </row>
    <row r="23" spans="2:50" x14ac:dyDescent="0.3">
      <c r="B23" s="52" t="s">
        <v>10</v>
      </c>
      <c r="C23" s="1">
        <f>IF('Saisie immeuble'!D20=Feuil1!$B$4,4,IF(AND('Saisie immeuble'!D20=$B$5,('Saisie immeuble'!$C$4=Feuil1!$C$5)),5,IF(AND('Saisie immeuble'!D20=$B$5,('Saisie immeuble'!$C$4=Feuil1!$C$6)),6,IF(AND('Saisie immeuble'!D20=Feuil1!$B$7,('Saisie immeuble'!$C$4=Feuil1!$C$7)),7,IF(AND('Saisie immeuble'!D20=Feuil1!$B$7,('Saisie immeuble'!$C$4=Feuil1!$C$8)),8,0)))))</f>
        <v>0</v>
      </c>
      <c r="D23" s="90" t="e">
        <f>HLOOKUP('Saisie immeuble'!$C$3,Feuil1!$D$1:$BM$8,Feuil1!C23,FALSE)</f>
        <v>#N/A</v>
      </c>
      <c r="E23" s="1" t="e">
        <f>HLOOKUP('Saisie immeuble'!$C$3,Feuil1!$D$1:$BM$8,3,FALSE)</f>
        <v>#N/A</v>
      </c>
      <c r="F23" s="1" t="e">
        <f>IF(E23=1,450+'Saisie immeuble'!C20*6,IF(E23=2,300+'Saisie immeuble'!C20*5,150+'Saisie immeuble'!C20*3))</f>
        <v>#N/A</v>
      </c>
      <c r="G23" s="1" t="e">
        <f>IF(E23=1,1400+'Saisie immeuble'!C20*6,IF(E23=2,1100+'Saisie immeuble'!C20*6,500+'Saisie immeuble'!C20*6))</f>
        <v>#N/A</v>
      </c>
      <c r="H23" s="90">
        <f>IF('Saisie immeuble'!$C$6="oui",IF('Saisie immeuble'!D20="dernier étage",IF(Feuil1!E23=1,0.4*Feuil1!D23,IF(Feuil1!E23=2,0.35*Feuil1!D23,IF(Feuil1!E23=3,0.3*Feuil1!D23,0))),0),0)</f>
        <v>0</v>
      </c>
      <c r="I23" s="90">
        <f>IF('Saisie immeuble'!$C$7="oui",IF(AND(Feuil1!E23=1,('Saisie immeuble'!$C$4=Feuil1!$C$5)),0.3*Feuil1!D23,IF(AND(Feuil1!E23=1,('Saisie immeuble'!$C$4=Feuil1!$C$6)),0.2*Feuil1!D23,IF(AND(Feuil1!E23=2,('Saisie immeuble'!$C$4=Feuil1!$C$5)),0.25*Feuil1!D23,IF(AND(Feuil1!E23=2,('Saisie immeuble'!$C$4=Feuil1!$C$6)),0.15*Feuil1!D23,IF(AND(Feuil1!E23=3,('Saisie immeuble'!$C$4=Feuil1!$C$5)),0.2*Feuil1!D23,IF(AND(Feuil1!E23=3,('Saisie immeuble'!$C$4=Feuil1!$C$6)),0.12*Feuil1!D23)))))),0)</f>
        <v>0</v>
      </c>
      <c r="J23" s="90">
        <f>IF('Saisie immeuble'!$C$8="oui",IF(AND(Feuil1!E23=1,('Saisie immeuble'!$C$4=Feuil1!$C$5)),0.22*Feuil1!D23,IF(AND(Feuil1!E23=1,('Saisie immeuble'!$C$4=Feuil1!$C$6)),0.14*Feuil1!D23,IF(AND(Feuil1!E23=2,('Saisie immeuble'!$C$4=Feuil1!$C$5)),0.2*Feuil1!D23,IF(AND(Feuil1!E23=2,('Saisie immeuble'!$C$4=Feuil1!$C$6)),0.12*Feuil1!D23,IF(AND(Feuil1!E23=3,('Saisie immeuble'!$C$4=Feuil1!$C$5)),0.16*Feuil1!D23,IF(AND(Feuil1!E23=3,('Saisie immeuble'!$C$4=Feuil1!$C$6)),0.1*Feuil1!D23)))))),0)</f>
        <v>0</v>
      </c>
      <c r="K23" s="90">
        <f>IF('Saisie immeuble'!$F$7="oui",IF('Saisie immeuble'!D20="rez de chaussée",IF(Feuil1!E23=1,0.2*Feuil1!D23,IF(Feuil1!E23=2,0.16*Feuil1!D23,IF(Feuil1!E23=3,0.12*Feuil1!D23,0))),0),0)</f>
        <v>0</v>
      </c>
      <c r="L23" s="1">
        <f>IF('Saisie immeuble'!C20&gt;0,IF('Saisie immeuble'!C20&gt;57,('Saisie immeuble'!C20-57)*55,('Saisie immeuble'!C20-57)*35),0)</f>
        <v>0</v>
      </c>
      <c r="M23" s="1">
        <f>IF('Saisie immeuble'!C20&gt;0,IF('Saisie immeuble'!$H$7=Feuil1!$B$78,IF(Feuil1!E23=1,700,IF(Feuil1!E23=2,550,400)),IF('Saisie immeuble'!$H$7=Feuil1!$B$79,IF(Feuil1!E23=1,350,IF(Feuil1!E23=2,275,200)),0))*(1-((57-'Saisie immeuble'!C20)/100)),0)</f>
        <v>0</v>
      </c>
      <c r="N23" s="90" t="e">
        <f>D23-IF('Saisie immeuble'!G20=Feuil1!$B$68,Feuil1!F23,IF('Saisie immeuble'!G20=Feuil1!$B$69,G23,0))-H23-I23-J23+L23-K23+M23</f>
        <v>#N/A</v>
      </c>
      <c r="O23" s="90" t="e">
        <f t="shared" si="6"/>
        <v>#N/A</v>
      </c>
      <c r="P23" s="90" t="e">
        <f>IF('Saisie immeuble'!$C$5="individuel",N23/AJ23,O23/AJ23)</f>
        <v>#N/A</v>
      </c>
      <c r="Q23" s="99" t="e">
        <f t="shared" si="7"/>
        <v>#N/A</v>
      </c>
      <c r="R23" s="52" t="e">
        <f>VLOOKUP('Saisie immeuble'!E20,Feuil1!$G$58:$I$75,3,0)</f>
        <v>#N/A</v>
      </c>
      <c r="S23" s="1" t="e">
        <f>VLOOKUP('Saisie immeuble'!F20,Feuil1!$Q$57:$U$70,5,FALSE)</f>
        <v>#N/A</v>
      </c>
      <c r="T23" s="1" t="e">
        <f>IF(AND(R23&lt;&gt;"élec",(S23&lt;&gt;"élec"),('Saisie immeuble'!C20&lt;40)),'Référence&amp;tarifs'!$A$6,IF(AND(R23="élec",(S23="élec")),'Référence&amp;tarifs'!$A$8,'Référence&amp;tarifs'!$A$7))</f>
        <v>#N/A</v>
      </c>
      <c r="U23" s="1" t="e">
        <f>VLOOKUP(T23,'Référence&amp;tarifs'!$A$6:$C$10,2,FALSE)</f>
        <v>#N/A</v>
      </c>
      <c r="V23" s="1" t="e">
        <f>VLOOKUP(T23,'Référence&amp;tarifs'!$A$6:$C$10,3,FALSE)</f>
        <v>#N/A</v>
      </c>
      <c r="W23" s="1"/>
      <c r="X23" s="51" t="e">
        <f>IF('Résultat immeuble'!N14&lt;1.1,HLOOKUP(Feuil1!T23,'Référence&amp;tarifs'!#REF!,2,FALSE),IF('Résultat immeuble'!N14&gt;1.9,HLOOKUP(Feuil1!T23,'Référence&amp;tarifs'!#REF!,4,FALSE),HLOOKUP(Feuil1!T23,'Référence&amp;tarifs'!#REF!,3,FALSE)))</f>
        <v>#N/A</v>
      </c>
      <c r="Y23" s="52" t="e">
        <f>IF(R23="gaz",N23,0)+IF(S23="gaz",AT23,0)+IF('Saisie immeuble'!H20="gaz de ville",Feuil1!AH23,0)</f>
        <v>#N/A</v>
      </c>
      <c r="Z23" s="1" t="e">
        <f>IF(Y23&lt;1000,'Référence&amp;tarifs'!$A$16,IF(Y23&gt;5999,'Référence&amp;tarifs'!$A$18,'Référence&amp;tarifs'!$A$17))</f>
        <v>#N/A</v>
      </c>
      <c r="AA23" s="1" t="e">
        <f>VLOOKUP(Z23,'Référence&amp;tarifs'!$A$16:$C$18,2,FALSE)</f>
        <v>#N/A</v>
      </c>
      <c r="AB23" s="1" t="e">
        <f>VLOOKUP(Z23,'Référence&amp;tarifs'!$A$16:$C$18,3,FALSE)</f>
        <v>#N/A</v>
      </c>
      <c r="AC23" s="58" t="b">
        <f>IF('Saisie immeuble'!$C$5="individuel",IF('Résultat immeuble'!N14=1,HLOOKUP(Feuil1!Z23,'Référence&amp;tarifs'!#REF!,2,FALSE),IF('Résultat immeuble'!N14&gt;1.9,HLOOKUP(Feuil1!Z23,'Référence&amp;tarifs'!#REF!,4,FALSE),HLOOKUP(Feuil1!Z23,'Référence&amp;tarifs'!#REF!,3,FALSE))),IF('Saisie immeuble'!$C$5="collectif",IF('Résultat immeuble'!N14=1,'Référence&amp;tarifs'!#REF!,IF('Résultat immeuble'!N14&gt;1.9,'Référence&amp;tarifs'!#REF!,IF(AND('Résultat immeuble'!N14&lt;2,('Résultat immeuble'!N14&gt;1)),'Référence&amp;tarifs'!#REF!,0)))))</f>
        <v>0</v>
      </c>
      <c r="AD23" s="109">
        <f>IF('Saisie immeuble'!I20+'Saisie immeuble'!J20&gt;0,18*'Saisie immeuble'!C20+3.5*('Saisie immeuble'!I20+'Saisie immeuble'!J20-1)*'Saisie immeuble'!C20,0)</f>
        <v>0</v>
      </c>
      <c r="AE23" s="110"/>
      <c r="AF23" s="111"/>
      <c r="AG23" s="97" t="e">
        <f t="shared" si="8"/>
        <v>#N/A</v>
      </c>
      <c r="AH23" s="52">
        <f>IF('Saisie immeuble'!I20+'Saisie immeuble'!J20&gt;0,350+80*('Saisie immeuble'!I20+'Saisie immeuble'!J20-1),0)</f>
        <v>0</v>
      </c>
      <c r="AI23" s="97" t="e">
        <f>IF('Saisie immeuble'!H20="gaz de ville",Feuil1!AB23,IF('Saisie immeuble'!H20=$B$72,V23,0))*Feuil1!AH23+IF(AND(R23&lt;&gt;"gaz",(S23&lt;&gt;"gaz"),('Saisie immeuble'!H20="gaz de ville")),Feuil1!AA23,0)</f>
        <v>#N/A</v>
      </c>
      <c r="AJ23" s="52" t="e">
        <f>VLOOKUP('Saisie immeuble'!E20,Feuil1!$G$58:$I$75,2,FALSE)</f>
        <v>#N/A</v>
      </c>
      <c r="AK23" s="1" t="e">
        <f>VLOOKUP('Saisie immeuble'!E20,Feuil1!$G$58:$I$75,3,FALSE)</f>
        <v>#N/A</v>
      </c>
      <c r="AL23" s="98" t="e">
        <f>IF(AK23="élec",V23,IF(AK23="gaz",AB23,IF(AK23="fioul",'Référence&amp;tarifs'!$B$25,IF(AK23="bois buche",'Référence&amp;tarifs'!$B$23,IF(AK23="bois granulés",'Référence&amp;tarifs'!$B$24,IF(AK23=I67,0.8*('Référence&amp;tarifs'!$B$23+'Référence&amp;tarifs'!B25)/2+0.2*Feuil1!AB23,0))))))</f>
        <v>#N/A</v>
      </c>
      <c r="AM23" s="52">
        <f>IF('Saisie immeuble'!I20+'Saisie immeuble'!J20&gt;0,Feuil1!$AM$13+2*('Saisie immeuble'!I20+'Saisie immeuble'!J20-1),0)</f>
        <v>0</v>
      </c>
      <c r="AN23" s="1">
        <f>IF('Saisie immeuble'!I20+'Saisie immeuble'!J20&gt;0,Feuil1!$AN$13*('Saisie immeuble'!I20+'Saisie immeuble'!J20),0)</f>
        <v>0</v>
      </c>
      <c r="AO23" s="1">
        <f>IF('Saisie immeuble'!I20+'Saisie immeuble'!J20&gt;0,Feuil1!$AO$13+3*('Saisie immeuble'!I20+'Saisie immeuble'!J20-1),0)</f>
        <v>0</v>
      </c>
      <c r="AP23" s="1">
        <f>IF('Saisie immeuble'!I20+'Saisie immeuble'!J20&gt;0,Feuil1!$AP$13+2*('Saisie immeuble'!I20+'Saisie immeuble'!J20-1),0)</f>
        <v>0</v>
      </c>
      <c r="AQ23" s="1">
        <f>IF('Saisie immeuble'!I20+'Saisie immeuble'!J20&gt;0,Feuil1!$AQ$13*('Saisie immeuble'!I20+'Saisie immeuble'!J20),0)</f>
        <v>0</v>
      </c>
      <c r="AR23" s="1">
        <f t="shared" si="9"/>
        <v>0</v>
      </c>
      <c r="AS23" s="99" t="e">
        <f>AR23*'Saisie immeuble'!$F$8+IF(AND(R23&lt;&gt;"gaz",(S23="gaz")),AA23,0)</f>
        <v>#N/A</v>
      </c>
      <c r="AT23" s="52">
        <f>IF('Saisie immeuble'!I20+'Saisie immeuble'!J20&gt;0,1100+700*('Saisie immeuble'!I20+'Saisie immeuble'!J20-1),0)</f>
        <v>0</v>
      </c>
      <c r="AU23" s="3" t="e">
        <f>IF(AW23="élec",Feuil1!V23,IF(AW23="gaz",Feuil1!AB23,IF(AW23="fioul",'Référence&amp;tarifs'!$B$25,IF(AW23="bois",('Référence&amp;tarifs'!$B$23+'Référence&amp;tarifs'!$B$24)/2,0))))</f>
        <v>#N/A</v>
      </c>
      <c r="AV23" s="1" t="e">
        <f>VLOOKUP('Saisie immeuble'!F20,Feuil1!$Q$57:$U$70,4,FALSE)</f>
        <v>#N/A</v>
      </c>
      <c r="AW23" s="1" t="e">
        <f>VLOOKUP('Saisie immeuble'!F20,Feuil1!$Q$57:$U$70,5,FALSE)</f>
        <v>#N/A</v>
      </c>
      <c r="AX23" s="97" t="e">
        <f t="shared" si="10"/>
        <v>#N/A</v>
      </c>
    </row>
    <row r="24" spans="2:50" x14ac:dyDescent="0.3">
      <c r="B24" s="52" t="s">
        <v>11</v>
      </c>
      <c r="C24" s="1">
        <f>IF('Saisie immeuble'!D21=Feuil1!$B$4,4,IF(AND('Saisie immeuble'!D21=$B$5,('Saisie immeuble'!$C$4=Feuil1!$C$5)),5,IF(AND('Saisie immeuble'!D21=$B$5,('Saisie immeuble'!$C$4=Feuil1!$C$6)),6,IF(AND('Saisie immeuble'!D21=Feuil1!$B$7,('Saisie immeuble'!$C$4=Feuil1!$C$7)),7,IF(AND('Saisie immeuble'!D21=Feuil1!$B$7,('Saisie immeuble'!$C$4=Feuil1!$C$8)),8,0)))))</f>
        <v>0</v>
      </c>
      <c r="D24" s="90" t="e">
        <f>HLOOKUP('Saisie immeuble'!$C$3,Feuil1!$D$1:$BM$8,Feuil1!C24,FALSE)</f>
        <v>#N/A</v>
      </c>
      <c r="E24" s="1" t="e">
        <f>HLOOKUP('Saisie immeuble'!$C$3,Feuil1!$D$1:$BM$8,3,FALSE)</f>
        <v>#N/A</v>
      </c>
      <c r="F24" s="1" t="e">
        <f>IF(E24=1,450+'Saisie immeuble'!C21*6,IF(E24=2,300+'Saisie immeuble'!C21*5,150+'Saisie immeuble'!C21*3))</f>
        <v>#N/A</v>
      </c>
      <c r="G24" s="1" t="e">
        <f>IF(E24=1,1400+'Saisie immeuble'!C21*6,IF(E24=2,1100+'Saisie immeuble'!C21*6,500+'Saisie immeuble'!C21*6))</f>
        <v>#N/A</v>
      </c>
      <c r="H24" s="90">
        <f>IF('Saisie immeuble'!$C$6="oui",IF('Saisie immeuble'!D21="dernier étage",IF(Feuil1!E24=1,0.4*Feuil1!D24,IF(Feuil1!E24=2,0.35*Feuil1!D24,IF(Feuil1!E24=3,0.3*Feuil1!D24,0))),0),0)</f>
        <v>0</v>
      </c>
      <c r="I24" s="90">
        <f>IF('Saisie immeuble'!$C$7="oui",IF(AND(Feuil1!E24=1,('Saisie immeuble'!$C$4=Feuil1!$C$5)),0.3*Feuil1!D24,IF(AND(Feuil1!E24=1,('Saisie immeuble'!$C$4=Feuil1!$C$6)),0.2*Feuil1!D24,IF(AND(Feuil1!E24=2,('Saisie immeuble'!$C$4=Feuil1!$C$5)),0.25*Feuil1!D24,IF(AND(Feuil1!E24=2,('Saisie immeuble'!$C$4=Feuil1!$C$6)),0.15*Feuil1!D24,IF(AND(Feuil1!E24=3,('Saisie immeuble'!$C$4=Feuil1!$C$5)),0.2*Feuil1!D24,IF(AND(Feuil1!E24=3,('Saisie immeuble'!$C$4=Feuil1!$C$6)),0.12*Feuil1!D24)))))),0)</f>
        <v>0</v>
      </c>
      <c r="J24" s="90">
        <f>IF('Saisie immeuble'!$C$8="oui",IF(AND(Feuil1!E24=1,('Saisie immeuble'!$C$4=Feuil1!$C$5)),0.22*Feuil1!D24,IF(AND(Feuil1!E24=1,('Saisie immeuble'!$C$4=Feuil1!$C$6)),0.14*Feuil1!D24,IF(AND(Feuil1!E24=2,('Saisie immeuble'!$C$4=Feuil1!$C$5)),0.2*Feuil1!D24,IF(AND(Feuil1!E24=2,('Saisie immeuble'!$C$4=Feuil1!$C$6)),0.12*Feuil1!D24,IF(AND(Feuil1!E24=3,('Saisie immeuble'!$C$4=Feuil1!$C$5)),0.16*Feuil1!D24,IF(AND(Feuil1!E24=3,('Saisie immeuble'!$C$4=Feuil1!$C$6)),0.1*Feuil1!D24)))))),0)</f>
        <v>0</v>
      </c>
      <c r="K24" s="90">
        <f>IF('Saisie immeuble'!$F$7="oui",IF('Saisie immeuble'!D21="rez de chaussée",IF(Feuil1!E24=1,0.2*Feuil1!D24,IF(Feuil1!E24=2,0.16*Feuil1!D24,IF(Feuil1!E24=3,0.12*Feuil1!D24,0))),0),0)</f>
        <v>0</v>
      </c>
      <c r="L24" s="1">
        <f>IF('Saisie immeuble'!C21&gt;0,IF('Saisie immeuble'!C21&gt;57,('Saisie immeuble'!C21-57)*55,('Saisie immeuble'!C21-57)*35),0)</f>
        <v>0</v>
      </c>
      <c r="M24" s="1">
        <f>IF('Saisie immeuble'!C21&gt;0,IF('Saisie immeuble'!$H$7=Feuil1!$B$78,IF(Feuil1!E24=1,700,IF(Feuil1!E24=2,550,400)),IF('Saisie immeuble'!$H$7=Feuil1!$B$79,IF(Feuil1!E24=1,350,IF(Feuil1!E24=2,275,200)),0))*(1-((57-'Saisie immeuble'!C21)/100)),0)</f>
        <v>0</v>
      </c>
      <c r="N24" s="90" t="e">
        <f>D24-IF('Saisie immeuble'!G21=Feuil1!$B$68,Feuil1!F24,IF('Saisie immeuble'!G21=Feuil1!$B$69,G24,0))-H24-I24-J24+L24-K24+M24</f>
        <v>#N/A</v>
      </c>
      <c r="O24" s="90" t="e">
        <f t="shared" si="6"/>
        <v>#N/A</v>
      </c>
      <c r="P24" s="90" t="e">
        <f>IF('Saisie immeuble'!$C$5="individuel",N24/AJ24,O24/AJ24)</f>
        <v>#N/A</v>
      </c>
      <c r="Q24" s="99" t="e">
        <f t="shared" si="7"/>
        <v>#N/A</v>
      </c>
      <c r="R24" s="52" t="e">
        <f>VLOOKUP('Saisie immeuble'!#REF!,Feuil1!$G$58:$I$75,3,0)</f>
        <v>#REF!</v>
      </c>
      <c r="S24" s="1" t="e">
        <f>VLOOKUP('Saisie immeuble'!E21,Feuil1!$Q$57:$U$70,5,FALSE)</f>
        <v>#N/A</v>
      </c>
      <c r="T24" s="1" t="e">
        <f>IF(AND(R24&lt;&gt;"élec",(S24&lt;&gt;"élec"),('Saisie immeuble'!C21&lt;40)),'Référence&amp;tarifs'!$A$6,IF(AND(R24="élec",(S24="élec")),'Référence&amp;tarifs'!$A$8,'Référence&amp;tarifs'!$A$7))</f>
        <v>#REF!</v>
      </c>
      <c r="U24" s="1" t="e">
        <f>VLOOKUP(T24,'Référence&amp;tarifs'!$A$6:$C$10,2,FALSE)</f>
        <v>#REF!</v>
      </c>
      <c r="V24" s="1" t="e">
        <f>VLOOKUP(T24,'Référence&amp;tarifs'!$A$6:$C$10,3,FALSE)</f>
        <v>#REF!</v>
      </c>
      <c r="W24" s="1"/>
      <c r="X24" s="51" t="e">
        <f>IF('Résultat immeuble'!#REF!&lt;1.1,HLOOKUP(Feuil1!T24,'Référence&amp;tarifs'!#REF!,2,FALSE),IF('Résultat immeuble'!#REF!&gt;1.9,HLOOKUP(Feuil1!T24,'Référence&amp;tarifs'!#REF!,4,FALSE),HLOOKUP(Feuil1!T24,'Référence&amp;tarifs'!#REF!,3,FALSE)))</f>
        <v>#REF!</v>
      </c>
      <c r="Y24" s="52" t="e">
        <f>IF(R24="gaz",N24,0)+IF(S24="gaz",AT24,0)+IF('Saisie immeuble'!H21="gaz de ville",Feuil1!AH24,0)</f>
        <v>#REF!</v>
      </c>
      <c r="Z24" s="1" t="e">
        <f>IF(Y24&lt;1000,'Référence&amp;tarifs'!$A$16,IF(Y24&gt;5999,'Référence&amp;tarifs'!$A$18,'Référence&amp;tarifs'!$A$17))</f>
        <v>#REF!</v>
      </c>
      <c r="AA24" s="1" t="e">
        <f>VLOOKUP(Z24,'Référence&amp;tarifs'!$A$16:$C$18,2,FALSE)</f>
        <v>#REF!</v>
      </c>
      <c r="AB24" s="1" t="e">
        <f>VLOOKUP(Z24,'Référence&amp;tarifs'!$A$16:$C$18,3,FALSE)</f>
        <v>#REF!</v>
      </c>
      <c r="AC24" s="58" t="b">
        <f>IF('Saisie immeuble'!$C$5="individuel",IF('Résultat immeuble'!#REF!=1,HLOOKUP(Feuil1!Z24,'Référence&amp;tarifs'!#REF!,2,FALSE),IF('Résultat immeuble'!#REF!&gt;1.9,HLOOKUP(Feuil1!Z24,'Référence&amp;tarifs'!#REF!,4,FALSE),HLOOKUP(Feuil1!Z24,'Référence&amp;tarifs'!#REF!,3,FALSE))),IF('Saisie immeuble'!$C$5="collectif",IF('Résultat immeuble'!#REF!=1,'Référence&amp;tarifs'!#REF!,IF('Résultat immeuble'!#REF!&gt;1.9,'Référence&amp;tarifs'!#REF!,IF(AND('Résultat immeuble'!#REF!&lt;2,('Résultat immeuble'!#REF!&gt;1)),'Référence&amp;tarifs'!#REF!,0)))))</f>
        <v>0</v>
      </c>
      <c r="AD24" s="109">
        <f>IF('Saisie immeuble'!I21+'Saisie immeuble'!J21&gt;0,18*'Saisie immeuble'!C21+3.5*('Saisie immeuble'!I21+'Saisie immeuble'!J21-1)*'Saisie immeuble'!C21,0)</f>
        <v>0</v>
      </c>
      <c r="AE24" s="110"/>
      <c r="AF24" s="111"/>
      <c r="AG24" s="97" t="e">
        <f t="shared" si="8"/>
        <v>#REF!</v>
      </c>
      <c r="AH24" s="52">
        <f>IF('Saisie immeuble'!I21+'Saisie immeuble'!J21&gt;0,350+80*('Saisie immeuble'!I21+'Saisie immeuble'!J21-1),0)</f>
        <v>0</v>
      </c>
      <c r="AI24" s="97" t="e">
        <f>IF('Saisie immeuble'!H21="gaz de ville",Feuil1!AB24,IF('Saisie immeuble'!H21=$B$72,V24,0))*Feuil1!AH24+IF(AND(R24&lt;&gt;"gaz",(S24&lt;&gt;"gaz"),('Saisie immeuble'!H21="gaz de ville")),Feuil1!AA24,0)</f>
        <v>#REF!</v>
      </c>
      <c r="AJ24" s="52" t="e">
        <f>VLOOKUP('Saisie immeuble'!#REF!,Feuil1!$G$58:$I$75,2,FALSE)</f>
        <v>#REF!</v>
      </c>
      <c r="AK24" s="1" t="e">
        <f>VLOOKUP('Saisie immeuble'!#REF!,Feuil1!$G$58:$I$75,3,FALSE)</f>
        <v>#REF!</v>
      </c>
      <c r="AL24" s="98" t="e">
        <f>IF(AK24="élec",V24,IF(AK24="gaz",AB24,IF(AK24="fioul",'Référence&amp;tarifs'!$B$25,IF(AK24="bois buche",'Référence&amp;tarifs'!$B$23,IF(AK24="bois granulés",'Référence&amp;tarifs'!$B$24,IF(AK24=I68,0.8*('Référence&amp;tarifs'!$B$23+'Référence&amp;tarifs'!B26)/2+0.2*Feuil1!AB24,0))))))</f>
        <v>#REF!</v>
      </c>
      <c r="AM24" s="52">
        <f>IF('Saisie immeuble'!I21+'Saisie immeuble'!J21&gt;0,Feuil1!$AM$13+2*('Saisie immeuble'!I21+'Saisie immeuble'!J21-1),0)</f>
        <v>0</v>
      </c>
      <c r="AN24" s="1">
        <f>IF('Saisie immeuble'!I21+'Saisie immeuble'!J21&gt;0,Feuil1!$AN$13*('Saisie immeuble'!I21+'Saisie immeuble'!J21),0)</f>
        <v>0</v>
      </c>
      <c r="AO24" s="1">
        <f>IF('Saisie immeuble'!I21+'Saisie immeuble'!J21&gt;0,Feuil1!$AO$13+3*('Saisie immeuble'!I21+'Saisie immeuble'!J21-1),0)</f>
        <v>0</v>
      </c>
      <c r="AP24" s="1">
        <f>IF('Saisie immeuble'!I21+'Saisie immeuble'!J21&gt;0,Feuil1!$AP$13+2*('Saisie immeuble'!I21+'Saisie immeuble'!J21-1),0)</f>
        <v>0</v>
      </c>
      <c r="AQ24" s="1">
        <f>IF('Saisie immeuble'!I21+'Saisie immeuble'!J21&gt;0,Feuil1!$AQ$13*('Saisie immeuble'!I21+'Saisie immeuble'!J21),0)</f>
        <v>0</v>
      </c>
      <c r="AR24" s="1">
        <f t="shared" si="9"/>
        <v>0</v>
      </c>
      <c r="AS24" s="99" t="e">
        <f>AR24*'Saisie immeuble'!$F$8+IF(AND(R24&lt;&gt;"gaz",(S24="gaz")),AA24,0)</f>
        <v>#REF!</v>
      </c>
      <c r="AT24" s="52">
        <f>IF('Saisie immeuble'!I21+'Saisie immeuble'!J21&gt;0,1100+700*('Saisie immeuble'!I21+'Saisie immeuble'!J21-1),0)</f>
        <v>0</v>
      </c>
      <c r="AU24" s="3" t="e">
        <f>IF(AW24="élec",Feuil1!V24,IF(AW24="gaz",Feuil1!AB24,IF(AW24="fioul",'Référence&amp;tarifs'!$B$25,IF(AW24="bois",('Référence&amp;tarifs'!$B$23+'Référence&amp;tarifs'!$B$24)/2,0))))</f>
        <v>#N/A</v>
      </c>
      <c r="AV24" s="1" t="e">
        <f>VLOOKUP('Saisie immeuble'!E21,Feuil1!$Q$57:$U$70,4,FALSE)</f>
        <v>#N/A</v>
      </c>
      <c r="AW24" s="1" t="e">
        <f>VLOOKUP('Saisie immeuble'!E21,Feuil1!$Q$57:$U$70,5,FALSE)</f>
        <v>#N/A</v>
      </c>
      <c r="AX24" s="97" t="e">
        <f t="shared" si="10"/>
        <v>#N/A</v>
      </c>
    </row>
    <row r="25" spans="2:50" x14ac:dyDescent="0.3">
      <c r="B25" s="52" t="s">
        <v>12</v>
      </c>
      <c r="C25" s="1">
        <f>IF('Saisie immeuble'!D22=Feuil1!$B$4,4,IF(AND('Saisie immeuble'!D22=$B$5,('Saisie immeuble'!$C$4=Feuil1!$C$5)),5,IF(AND('Saisie immeuble'!D22=$B$5,('Saisie immeuble'!$C$4=Feuil1!$C$6)),6,IF(AND('Saisie immeuble'!D22=Feuil1!$B$7,('Saisie immeuble'!$C$4=Feuil1!$C$7)),7,IF(AND('Saisie immeuble'!D22=Feuil1!$B$7,('Saisie immeuble'!$C$4=Feuil1!$C$8)),8,0)))))</f>
        <v>0</v>
      </c>
      <c r="D25" s="90" t="e">
        <f>HLOOKUP('Saisie immeuble'!$C$3,Feuil1!$D$1:$BM$8,Feuil1!C25,FALSE)</f>
        <v>#N/A</v>
      </c>
      <c r="E25" s="1" t="e">
        <f>HLOOKUP('Saisie immeuble'!$C$3,Feuil1!$D$1:$BM$8,3,FALSE)</f>
        <v>#N/A</v>
      </c>
      <c r="F25" s="1" t="e">
        <f>IF(E25=1,450+'Saisie immeuble'!C22*6,IF(E25=2,300+'Saisie immeuble'!C22*5,150+'Saisie immeuble'!C22*3))</f>
        <v>#N/A</v>
      </c>
      <c r="G25" s="1" t="e">
        <f>IF(E25=1,1400+'Saisie immeuble'!C22*6,IF(E25=2,1100+'Saisie immeuble'!C22*6,500+'Saisie immeuble'!C22*6))</f>
        <v>#N/A</v>
      </c>
      <c r="H25" s="90">
        <f>IF('Saisie immeuble'!$C$6="oui",IF('Saisie immeuble'!D22="dernier étage",IF(Feuil1!E25=1,0.4*Feuil1!D25,IF(Feuil1!E25=2,0.35*Feuil1!D25,IF(Feuil1!E25=3,0.3*Feuil1!D25,0))),0),0)</f>
        <v>0</v>
      </c>
      <c r="I25" s="90">
        <f>IF('Saisie immeuble'!$C$7="oui",IF(AND(Feuil1!E25=1,('Saisie immeuble'!$C$4=Feuil1!$C$5)),0.3*Feuil1!D25,IF(AND(Feuil1!E25=1,('Saisie immeuble'!$C$4=Feuil1!$C$6)),0.2*Feuil1!D25,IF(AND(Feuil1!E25=2,('Saisie immeuble'!$C$4=Feuil1!$C$5)),0.25*Feuil1!D25,IF(AND(Feuil1!E25=2,('Saisie immeuble'!$C$4=Feuil1!$C$6)),0.15*Feuil1!D25,IF(AND(Feuil1!E25=3,('Saisie immeuble'!$C$4=Feuil1!$C$5)),0.2*Feuil1!D25,IF(AND(Feuil1!E25=3,('Saisie immeuble'!$C$4=Feuil1!$C$6)),0.12*Feuil1!D25)))))),0)</f>
        <v>0</v>
      </c>
      <c r="J25" s="90">
        <f>IF('Saisie immeuble'!$C$8="oui",IF(AND(Feuil1!E25=1,('Saisie immeuble'!$C$4=Feuil1!$C$5)),0.22*Feuil1!D25,IF(AND(Feuil1!E25=1,('Saisie immeuble'!$C$4=Feuil1!$C$6)),0.14*Feuil1!D25,IF(AND(Feuil1!E25=2,('Saisie immeuble'!$C$4=Feuil1!$C$5)),0.2*Feuil1!D25,IF(AND(Feuil1!E25=2,('Saisie immeuble'!$C$4=Feuil1!$C$6)),0.12*Feuil1!D25,IF(AND(Feuil1!E25=3,('Saisie immeuble'!$C$4=Feuil1!$C$5)),0.16*Feuil1!D25,IF(AND(Feuil1!E25=3,('Saisie immeuble'!$C$4=Feuil1!$C$6)),0.1*Feuil1!D25)))))),0)</f>
        <v>0</v>
      </c>
      <c r="K25" s="90">
        <f>IF('Saisie immeuble'!$F$7="oui",IF('Saisie immeuble'!D22="rez de chaussée",IF(Feuil1!E25=1,0.2*Feuil1!D25,IF(Feuil1!E25=2,0.16*Feuil1!D25,IF(Feuil1!E25=3,0.12*Feuil1!D25,0))),0),0)</f>
        <v>0</v>
      </c>
      <c r="L25" s="1">
        <f>IF('Saisie immeuble'!C22&gt;0,IF('Saisie immeuble'!C22&gt;57,('Saisie immeuble'!C22-57)*55,('Saisie immeuble'!C22-57)*35),0)</f>
        <v>0</v>
      </c>
      <c r="M25" s="1">
        <f>IF('Saisie immeuble'!C22&gt;0,IF('Saisie immeuble'!$H$7=Feuil1!$B$78,IF(Feuil1!E25=1,700,IF(Feuil1!E25=2,550,400)),IF('Saisie immeuble'!$H$7=Feuil1!$B$79,IF(Feuil1!E25=1,350,IF(Feuil1!E25=2,275,200)),0))*(1-((57-'Saisie immeuble'!C22)/100)),0)</f>
        <v>0</v>
      </c>
      <c r="N25" s="90" t="e">
        <f>D25-IF('Saisie immeuble'!G22=Feuil1!$B$68,Feuil1!F25,IF('Saisie immeuble'!G22=Feuil1!$B$69,G25,0))-H25-I25-J25+L25-K25+M25</f>
        <v>#N/A</v>
      </c>
      <c r="O25" s="90" t="e">
        <f t="shared" si="6"/>
        <v>#N/A</v>
      </c>
      <c r="P25" s="90" t="e">
        <f>IF('Saisie immeuble'!$C$5="individuel",N25/AJ25,O25/AJ25)</f>
        <v>#N/A</v>
      </c>
      <c r="Q25" s="99" t="e">
        <f t="shared" si="7"/>
        <v>#N/A</v>
      </c>
      <c r="R25" s="52" t="e">
        <f>VLOOKUP('Saisie immeuble'!#REF!,Feuil1!$G$58:$I$75,3,0)</f>
        <v>#REF!</v>
      </c>
      <c r="S25" s="1" t="e">
        <f>VLOOKUP('Saisie immeuble'!E22,Feuil1!$Q$57:$U$70,5,FALSE)</f>
        <v>#N/A</v>
      </c>
      <c r="T25" s="1" t="e">
        <f>IF(AND(R25&lt;&gt;"élec",(S25&lt;&gt;"élec"),('Saisie immeuble'!C22&lt;40)),'Référence&amp;tarifs'!$A$6,IF(AND(R25="élec",(S25="élec")),'Référence&amp;tarifs'!$A$8,'Référence&amp;tarifs'!$A$7))</f>
        <v>#REF!</v>
      </c>
      <c r="U25" s="1" t="e">
        <f>VLOOKUP(T25,'Référence&amp;tarifs'!$A$6:$C$10,2,FALSE)</f>
        <v>#REF!</v>
      </c>
      <c r="V25" s="1" t="e">
        <f>VLOOKUP(T25,'Référence&amp;tarifs'!$A$6:$C$10,3,FALSE)</f>
        <v>#REF!</v>
      </c>
      <c r="W25" s="1"/>
      <c r="X25" s="51" t="e">
        <f>IF('Résultat immeuble'!T15&lt;1.1,HLOOKUP(Feuil1!T25,'Référence&amp;tarifs'!#REF!,2,FALSE),IF('Résultat immeuble'!T15&gt;1.9,HLOOKUP(Feuil1!T25,'Référence&amp;tarifs'!#REF!,4,FALSE),HLOOKUP(Feuil1!T25,'Référence&amp;tarifs'!#REF!,3,FALSE)))</f>
        <v>#REF!</v>
      </c>
      <c r="Y25" s="52" t="e">
        <f>IF(R25="gaz",N25,0)+IF(S25="gaz",AT25,0)+IF('Saisie immeuble'!H22="gaz de ville",Feuil1!AH25,0)</f>
        <v>#REF!</v>
      </c>
      <c r="Z25" s="1" t="e">
        <f>IF(Y25&lt;1000,'Référence&amp;tarifs'!$A$16,IF(Y25&gt;5999,'Référence&amp;tarifs'!$A$18,'Référence&amp;tarifs'!$A$17))</f>
        <v>#REF!</v>
      </c>
      <c r="AA25" s="1" t="e">
        <f>VLOOKUP(Z25,'Référence&amp;tarifs'!$A$16:$C$18,2,FALSE)</f>
        <v>#REF!</v>
      </c>
      <c r="AB25" s="1" t="e">
        <f>VLOOKUP(Z25,'Référence&amp;tarifs'!$A$16:$C$18,3,FALSE)</f>
        <v>#REF!</v>
      </c>
      <c r="AC25" s="58" t="b">
        <f>IF('Saisie immeuble'!$C$5="individuel",IF('Résultat immeuble'!T15=1,HLOOKUP(Feuil1!Z25,'Référence&amp;tarifs'!#REF!,2,FALSE),IF('Résultat immeuble'!T15&gt;1.9,HLOOKUP(Feuil1!Z25,'Référence&amp;tarifs'!#REF!,4,FALSE),HLOOKUP(Feuil1!Z25,'Référence&amp;tarifs'!#REF!,3,FALSE))),IF('Saisie immeuble'!$C$5="collectif",IF('Résultat immeuble'!T15=1,'Référence&amp;tarifs'!#REF!,IF('Résultat immeuble'!T15&gt;1.9,'Référence&amp;tarifs'!#REF!,IF(AND('Résultat immeuble'!T15&lt;2,('Résultat immeuble'!T15&gt;1)),'Référence&amp;tarifs'!#REF!,0)))))</f>
        <v>0</v>
      </c>
      <c r="AD25" s="109">
        <f>IF('Saisie immeuble'!I22+'Saisie immeuble'!J22&gt;0,18*'Saisie immeuble'!C22+3.5*('Saisie immeuble'!I22+'Saisie immeuble'!J22-1)*'Saisie immeuble'!C22,0)</f>
        <v>0</v>
      </c>
      <c r="AE25" s="110"/>
      <c r="AF25" s="111"/>
      <c r="AG25" s="97" t="e">
        <f t="shared" si="8"/>
        <v>#REF!</v>
      </c>
      <c r="AH25" s="52">
        <f>IF('Saisie immeuble'!I22+'Saisie immeuble'!J22&gt;0,350+80*('Saisie immeuble'!I22+'Saisie immeuble'!J22-1),0)</f>
        <v>0</v>
      </c>
      <c r="AI25" s="97" t="e">
        <f>IF('Saisie immeuble'!H22="gaz de ville",Feuil1!AB25,IF('Saisie immeuble'!H22=$B$72,V25,0))*Feuil1!AH25+IF(AND(R25&lt;&gt;"gaz",(S25&lt;&gt;"gaz"),('Saisie immeuble'!H22="gaz de ville")),Feuil1!AA25,0)</f>
        <v>#REF!</v>
      </c>
      <c r="AJ25" s="52" t="e">
        <f>VLOOKUP('Saisie immeuble'!#REF!,Feuil1!$G$58:$I$75,2,FALSE)</f>
        <v>#REF!</v>
      </c>
      <c r="AK25" s="1" t="e">
        <f>VLOOKUP('Saisie immeuble'!#REF!,Feuil1!$G$58:$I$75,3,FALSE)</f>
        <v>#REF!</v>
      </c>
      <c r="AL25" s="98" t="e">
        <f>IF(AK25="élec",V25,IF(AK25="gaz",AB25,IF(AK25="fioul",'Référence&amp;tarifs'!$B$25,IF(AK25="bois buche",'Référence&amp;tarifs'!$B$23,IF(AK25="bois granulés",'Référence&amp;tarifs'!$B$24,IF(AK25=I69,0.8*('Référence&amp;tarifs'!$B$23+'Référence&amp;tarifs'!B27)/2+0.2*Feuil1!AB25,0))))))</f>
        <v>#REF!</v>
      </c>
      <c r="AM25" s="52">
        <f>IF('Saisie immeuble'!I22+'Saisie immeuble'!J22&gt;0,Feuil1!$AM$13+2*('Saisie immeuble'!I22+'Saisie immeuble'!J22-1),0)</f>
        <v>0</v>
      </c>
      <c r="AN25" s="1">
        <f>IF('Saisie immeuble'!I22+'Saisie immeuble'!J22&gt;0,Feuil1!$AN$13*('Saisie immeuble'!I22+'Saisie immeuble'!J22),0)</f>
        <v>0</v>
      </c>
      <c r="AO25" s="1">
        <f>IF('Saisie immeuble'!I22+'Saisie immeuble'!J22&gt;0,Feuil1!$AO$13+3*('Saisie immeuble'!I22+'Saisie immeuble'!J22-1),0)</f>
        <v>0</v>
      </c>
      <c r="AP25" s="1">
        <f>IF('Saisie immeuble'!I22+'Saisie immeuble'!J22&gt;0,Feuil1!$AP$13+2*('Saisie immeuble'!I22+'Saisie immeuble'!J22-1),0)</f>
        <v>0</v>
      </c>
      <c r="AQ25" s="1">
        <f>IF('Saisie immeuble'!I22+'Saisie immeuble'!J22&gt;0,Feuil1!$AQ$13*('Saisie immeuble'!I22+'Saisie immeuble'!J22),0)</f>
        <v>0</v>
      </c>
      <c r="AR25" s="1">
        <f t="shared" si="9"/>
        <v>0</v>
      </c>
      <c r="AS25" s="99" t="e">
        <f>AR25*'Saisie immeuble'!$F$8+IF(AND(R25&lt;&gt;"gaz",(S25="gaz")),AA25,0)</f>
        <v>#REF!</v>
      </c>
      <c r="AT25" s="52">
        <f>IF('Saisie immeuble'!I22+'Saisie immeuble'!J22&gt;0,1100+700*('Saisie immeuble'!I22+'Saisie immeuble'!J22-1),0)</f>
        <v>0</v>
      </c>
      <c r="AU25" s="3" t="e">
        <f>IF(AW25="élec",Feuil1!V25,IF(AW25="gaz",Feuil1!AB25,IF(AW25="fioul",'Référence&amp;tarifs'!$B$25,IF(AW25="bois",('Référence&amp;tarifs'!$B$23+'Référence&amp;tarifs'!$B$24)/2,0))))</f>
        <v>#N/A</v>
      </c>
      <c r="AV25" s="1" t="e">
        <f>VLOOKUP('Saisie immeuble'!E22,Feuil1!$Q$57:$U$70,4,FALSE)</f>
        <v>#N/A</v>
      </c>
      <c r="AW25" s="1" t="e">
        <f>VLOOKUP('Saisie immeuble'!E22,Feuil1!$Q$57:$U$70,5,FALSE)</f>
        <v>#N/A</v>
      </c>
      <c r="AX25" s="97" t="e">
        <f t="shared" si="10"/>
        <v>#N/A</v>
      </c>
    </row>
    <row r="26" spans="2:50" x14ac:dyDescent="0.3">
      <c r="B26" s="52" t="s">
        <v>13</v>
      </c>
      <c r="C26" s="1">
        <f>IF('Saisie immeuble'!D23=Feuil1!$B$4,4,IF(AND('Saisie immeuble'!D23=$B$5,('Saisie immeuble'!$C$4=Feuil1!$C$5)),5,IF(AND('Saisie immeuble'!D23=$B$5,('Saisie immeuble'!$C$4=Feuil1!$C$6)),6,IF(AND('Saisie immeuble'!D23=Feuil1!$B$7,('Saisie immeuble'!$C$4=Feuil1!$C$7)),7,IF(AND('Saisie immeuble'!D23=Feuil1!$B$7,('Saisie immeuble'!$C$4=Feuil1!$C$8)),8,0)))))</f>
        <v>0</v>
      </c>
      <c r="D26" s="90" t="e">
        <f>HLOOKUP('Saisie immeuble'!$C$3,Feuil1!$D$1:$BM$8,Feuil1!C26,FALSE)</f>
        <v>#N/A</v>
      </c>
      <c r="E26" s="1" t="e">
        <f>HLOOKUP('Saisie immeuble'!$C$3,Feuil1!$D$1:$BM$8,3,FALSE)</f>
        <v>#N/A</v>
      </c>
      <c r="F26" s="1" t="e">
        <f>IF(E26=1,450+'Saisie immeuble'!C23*6,IF(E26=2,300+'Saisie immeuble'!C23*5,150+'Saisie immeuble'!C23*3))</f>
        <v>#N/A</v>
      </c>
      <c r="G26" s="1" t="e">
        <f>IF(E26=1,1400+'Saisie immeuble'!C23*6,IF(E26=2,1100+'Saisie immeuble'!C23*6,500+'Saisie immeuble'!C23*6))</f>
        <v>#N/A</v>
      </c>
      <c r="H26" s="90">
        <f>IF('Saisie immeuble'!$C$6="oui",IF('Saisie immeuble'!D23="dernier étage",IF(Feuil1!E26=1,0.4*Feuil1!D26,IF(Feuil1!E26=2,0.35*Feuil1!D26,IF(Feuil1!E26=3,0.3*Feuil1!D26,0))),0),0)</f>
        <v>0</v>
      </c>
      <c r="I26" s="90">
        <f>IF('Saisie immeuble'!$C$7="oui",IF(AND(Feuil1!E26=1,('Saisie immeuble'!$C$4=Feuil1!$C$5)),0.3*Feuil1!D26,IF(AND(Feuil1!E26=1,('Saisie immeuble'!$C$4=Feuil1!$C$6)),0.2*Feuil1!D26,IF(AND(Feuil1!E26=2,('Saisie immeuble'!$C$4=Feuil1!$C$5)),0.25*Feuil1!D26,IF(AND(Feuil1!E26=2,('Saisie immeuble'!$C$4=Feuil1!$C$6)),0.15*Feuil1!D26,IF(AND(Feuil1!E26=3,('Saisie immeuble'!$C$4=Feuil1!$C$5)),0.2*Feuil1!D26,IF(AND(Feuil1!E26=3,('Saisie immeuble'!$C$4=Feuil1!$C$6)),0.12*Feuil1!D26)))))),0)</f>
        <v>0</v>
      </c>
      <c r="J26" s="90">
        <f>IF('Saisie immeuble'!$C$8="oui",IF(AND(Feuil1!E26=1,('Saisie immeuble'!$C$4=Feuil1!$C$5)),0.22*Feuil1!D26,IF(AND(Feuil1!E26=1,('Saisie immeuble'!$C$4=Feuil1!$C$6)),0.14*Feuil1!D26,IF(AND(Feuil1!E26=2,('Saisie immeuble'!$C$4=Feuil1!$C$5)),0.2*Feuil1!D26,IF(AND(Feuil1!E26=2,('Saisie immeuble'!$C$4=Feuil1!$C$6)),0.12*Feuil1!D26,IF(AND(Feuil1!E26=3,('Saisie immeuble'!$C$4=Feuil1!$C$5)),0.16*Feuil1!D26,IF(AND(Feuil1!E26=3,('Saisie immeuble'!$C$4=Feuil1!$C$6)),0.1*Feuil1!D26)))))),0)</f>
        <v>0</v>
      </c>
      <c r="K26" s="90">
        <f>IF('Saisie immeuble'!$F$7="oui",IF('Saisie immeuble'!D23="rez de chaussée",IF(Feuil1!E26=1,0.2*Feuil1!D26,IF(Feuil1!E26=2,0.16*Feuil1!D26,IF(Feuil1!E26=3,0.12*Feuil1!D26,0))),0),0)</f>
        <v>0</v>
      </c>
      <c r="L26" s="1">
        <f>IF('Saisie immeuble'!C23&gt;0,IF('Saisie immeuble'!C23&gt;57,('Saisie immeuble'!C23-57)*55,('Saisie immeuble'!C23-57)*35),0)</f>
        <v>0</v>
      </c>
      <c r="M26" s="1">
        <f>IF('Saisie immeuble'!C23&gt;0,IF('Saisie immeuble'!$H$7=Feuil1!$B$78,IF(Feuil1!E26=1,700,IF(Feuil1!E26=2,550,400)),IF('Saisie immeuble'!$H$7=Feuil1!$B$79,IF(Feuil1!E26=1,350,IF(Feuil1!E26=2,275,200)),0))*(1-((57-'Saisie immeuble'!C23)/100)),0)</f>
        <v>0</v>
      </c>
      <c r="N26" s="90" t="e">
        <f>D26-IF('Saisie immeuble'!G23=Feuil1!$B$68,Feuil1!F26,IF('Saisie immeuble'!G23=Feuil1!$B$69,G26,0))-H26-I26-J26+L26-K26+M26</f>
        <v>#N/A</v>
      </c>
      <c r="O26" s="90" t="e">
        <f t="shared" si="6"/>
        <v>#N/A</v>
      </c>
      <c r="P26" s="90" t="e">
        <f>IF('Saisie immeuble'!$C$5="individuel",N26/AJ26,O26/AJ26)</f>
        <v>#N/A</v>
      </c>
      <c r="Q26" s="99" t="e">
        <f t="shared" si="7"/>
        <v>#N/A</v>
      </c>
      <c r="R26" s="52" t="e">
        <f>VLOOKUP('Saisie immeuble'!E23,Feuil1!$G$58:$I$75,3,0)</f>
        <v>#N/A</v>
      </c>
      <c r="S26" s="1" t="e">
        <f>VLOOKUP('Saisie immeuble'!F23,Feuil1!$Q$57:$U$70,5,FALSE)</f>
        <v>#N/A</v>
      </c>
      <c r="T26" s="1" t="e">
        <f>IF(AND(R26&lt;&gt;"élec",(S26&lt;&gt;"élec"),('Saisie immeuble'!C23&lt;40)),'Référence&amp;tarifs'!$A$6,IF(AND(R26="élec",(S26="élec")),'Référence&amp;tarifs'!$A$8,'Référence&amp;tarifs'!$A$7))</f>
        <v>#N/A</v>
      </c>
      <c r="U26" s="1" t="e">
        <f>VLOOKUP(T26,'Référence&amp;tarifs'!$A$6:$C$10,2,FALSE)</f>
        <v>#N/A</v>
      </c>
      <c r="V26" s="1" t="e">
        <f>VLOOKUP(T26,'Référence&amp;tarifs'!$A$6:$C$10,3,FALSE)</f>
        <v>#N/A</v>
      </c>
      <c r="W26" s="1"/>
      <c r="X26" s="51" t="e">
        <f>IF('Résultat immeuble'!S16&lt;1.1,HLOOKUP(Feuil1!T26,'Référence&amp;tarifs'!#REF!,2,FALSE),IF('Résultat immeuble'!S16&gt;1.9,HLOOKUP(Feuil1!T26,'Référence&amp;tarifs'!#REF!,4,FALSE),HLOOKUP(Feuil1!T26,'Référence&amp;tarifs'!#REF!,3,FALSE)))</f>
        <v>#N/A</v>
      </c>
      <c r="Y26" s="52" t="e">
        <f>IF(R26="gaz",N26,0)+IF(S26="gaz",AT26,0)+IF('Saisie immeuble'!H23="gaz de ville",Feuil1!AH26,0)</f>
        <v>#N/A</v>
      </c>
      <c r="Z26" s="1" t="e">
        <f>IF(Y26&lt;1000,'Référence&amp;tarifs'!$A$16,IF(Y26&gt;5999,'Référence&amp;tarifs'!$A$18,'Référence&amp;tarifs'!$A$17))</f>
        <v>#N/A</v>
      </c>
      <c r="AA26" s="1" t="e">
        <f>VLOOKUP(Z26,'Référence&amp;tarifs'!$A$16:$C$18,2,FALSE)</f>
        <v>#N/A</v>
      </c>
      <c r="AB26" s="1" t="e">
        <f>VLOOKUP(Z26,'Référence&amp;tarifs'!$A$16:$C$18,3,FALSE)</f>
        <v>#N/A</v>
      </c>
      <c r="AC26" s="58" t="b">
        <f>IF('Saisie immeuble'!$C$5="individuel",IF('Résultat immeuble'!S16=1,HLOOKUP(Feuil1!Z26,'Référence&amp;tarifs'!#REF!,2,FALSE),IF('Résultat immeuble'!S16&gt;1.9,HLOOKUP(Feuil1!Z26,'Référence&amp;tarifs'!#REF!,4,FALSE),HLOOKUP(Feuil1!Z26,'Référence&amp;tarifs'!#REF!,3,FALSE))),IF('Saisie immeuble'!$C$5="collectif",IF('Résultat immeuble'!S16=1,'Référence&amp;tarifs'!#REF!,IF('Résultat immeuble'!S16&gt;1.9,'Référence&amp;tarifs'!#REF!,IF(AND('Résultat immeuble'!S16&lt;2,('Résultat immeuble'!S16&gt;1)),'Référence&amp;tarifs'!#REF!,0)))))</f>
        <v>0</v>
      </c>
      <c r="AD26" s="109">
        <f>IF('Saisie immeuble'!I23+'Saisie immeuble'!J23&gt;0,18*'Saisie immeuble'!C23+3.5*('Saisie immeuble'!I23+'Saisie immeuble'!J23-1)*'Saisie immeuble'!C23,0)</f>
        <v>0</v>
      </c>
      <c r="AE26" s="110"/>
      <c r="AF26" s="111"/>
      <c r="AG26" s="97" t="e">
        <f t="shared" si="8"/>
        <v>#N/A</v>
      </c>
      <c r="AH26" s="52">
        <f>IF('Saisie immeuble'!I23+'Saisie immeuble'!J23&gt;0,350+80*('Saisie immeuble'!I23+'Saisie immeuble'!J23-1),0)</f>
        <v>0</v>
      </c>
      <c r="AI26" s="97" t="e">
        <f>IF('Saisie immeuble'!H23="gaz de ville",Feuil1!AB26,IF('Saisie immeuble'!H23=$B$72,V26,0))*Feuil1!AH26+IF(AND(R26&lt;&gt;"gaz",(S26&lt;&gt;"gaz"),('Saisie immeuble'!H23="gaz de ville")),Feuil1!AA26,0)</f>
        <v>#N/A</v>
      </c>
      <c r="AJ26" s="52" t="e">
        <f>VLOOKUP('Saisie immeuble'!E23,Feuil1!$G$58:$I$75,2,FALSE)</f>
        <v>#N/A</v>
      </c>
      <c r="AK26" s="1" t="e">
        <f>VLOOKUP('Saisie immeuble'!E23,Feuil1!$G$58:$I$75,3,FALSE)</f>
        <v>#N/A</v>
      </c>
      <c r="AL26" s="98" t="e">
        <f>IF(AK26="élec",V26,IF(AK26="gaz",AB26,IF(AK26="fioul",'Référence&amp;tarifs'!$B$25,IF(AK26="bois buche",'Référence&amp;tarifs'!$B$23,IF(AK26="bois granulés",'Référence&amp;tarifs'!$B$24,IF(AK26=I70,0.8*('Référence&amp;tarifs'!$B$23+'Référence&amp;tarifs'!B28)/2+0.2*Feuil1!AB26,0))))))</f>
        <v>#N/A</v>
      </c>
      <c r="AM26" s="52">
        <f>IF('Saisie immeuble'!I23+'Saisie immeuble'!J23&gt;0,Feuil1!$AM$13+2*('Saisie immeuble'!I23+'Saisie immeuble'!J23-1),0)</f>
        <v>0</v>
      </c>
      <c r="AN26" s="1">
        <f>IF('Saisie immeuble'!I23+'Saisie immeuble'!J23&gt;0,Feuil1!$AN$13*('Saisie immeuble'!I23+'Saisie immeuble'!J23),0)</f>
        <v>0</v>
      </c>
      <c r="AO26" s="1">
        <f>IF('Saisie immeuble'!I23+'Saisie immeuble'!J23&gt;0,Feuil1!$AO$13+3*('Saisie immeuble'!I23+'Saisie immeuble'!J23-1),0)</f>
        <v>0</v>
      </c>
      <c r="AP26" s="1">
        <f>IF('Saisie immeuble'!I23+'Saisie immeuble'!J23&gt;0,Feuil1!$AP$13+2*('Saisie immeuble'!I23+'Saisie immeuble'!J23-1),0)</f>
        <v>0</v>
      </c>
      <c r="AQ26" s="1">
        <f>IF('Saisie immeuble'!I23+'Saisie immeuble'!J23&gt;0,Feuil1!$AQ$13*('Saisie immeuble'!I23+'Saisie immeuble'!J23),0)</f>
        <v>0</v>
      </c>
      <c r="AR26" s="1">
        <f t="shared" si="9"/>
        <v>0</v>
      </c>
      <c r="AS26" s="99" t="e">
        <f>AR26*'Saisie immeuble'!$F$8+IF(AND(R26&lt;&gt;"gaz",(S26="gaz")),AA26,0)</f>
        <v>#N/A</v>
      </c>
      <c r="AT26" s="52">
        <f>IF('Saisie immeuble'!I23+'Saisie immeuble'!J23&gt;0,1100+700*('Saisie immeuble'!I23+'Saisie immeuble'!J23-1),0)</f>
        <v>0</v>
      </c>
      <c r="AU26" s="3" t="e">
        <f>IF(AW26="élec",Feuil1!V26,IF(AW26="gaz",Feuil1!AB26,IF(AW26="fioul",'Référence&amp;tarifs'!$B$25,IF(AW26="bois",('Référence&amp;tarifs'!$B$23+'Référence&amp;tarifs'!$B$24)/2,0))))</f>
        <v>#N/A</v>
      </c>
      <c r="AV26" s="1" t="e">
        <f>VLOOKUP('Saisie immeuble'!F23,Feuil1!$Q$57:$U$70,4,FALSE)</f>
        <v>#N/A</v>
      </c>
      <c r="AW26" s="1" t="e">
        <f>VLOOKUP('Saisie immeuble'!F23,Feuil1!$Q$57:$U$70,5,FALSE)</f>
        <v>#N/A</v>
      </c>
      <c r="AX26" s="97" t="e">
        <f t="shared" si="10"/>
        <v>#N/A</v>
      </c>
    </row>
    <row r="27" spans="2:50" x14ac:dyDescent="0.3">
      <c r="B27" s="52" t="s">
        <v>14</v>
      </c>
      <c r="C27" s="1">
        <f>IF('Saisie immeuble'!D24=Feuil1!$B$4,4,IF(AND('Saisie immeuble'!D24=$B$5,('Saisie immeuble'!$C$4=Feuil1!$C$5)),5,IF(AND('Saisie immeuble'!D24=$B$5,('Saisie immeuble'!$C$4=Feuil1!$C$6)),6,IF(AND('Saisie immeuble'!D24=Feuil1!$B$7,('Saisie immeuble'!$C$4=Feuil1!$C$7)),7,IF(AND('Saisie immeuble'!D24=Feuil1!$B$7,('Saisie immeuble'!$C$4=Feuil1!$C$8)),8,0)))))</f>
        <v>0</v>
      </c>
      <c r="D27" s="90" t="e">
        <f>HLOOKUP('Saisie immeuble'!$C$3,Feuil1!$D$1:$BM$8,Feuil1!C27,FALSE)</f>
        <v>#N/A</v>
      </c>
      <c r="E27" s="1" t="e">
        <f>HLOOKUP('Saisie immeuble'!$C$3,Feuil1!$D$1:$BM$8,3,FALSE)</f>
        <v>#N/A</v>
      </c>
      <c r="F27" s="1" t="e">
        <f>IF(E27=1,450+'Saisie immeuble'!C24*6,IF(E27=2,300+'Saisie immeuble'!C24*5,150+'Saisie immeuble'!C24*3))</f>
        <v>#N/A</v>
      </c>
      <c r="G27" s="1" t="e">
        <f>IF(E27=1,1400+'Saisie immeuble'!C24*6,IF(E27=2,1100+'Saisie immeuble'!C24*6,500+'Saisie immeuble'!C24*6))</f>
        <v>#N/A</v>
      </c>
      <c r="H27" s="90">
        <f>IF('Saisie immeuble'!$C$6="oui",IF('Saisie immeuble'!D24="dernier étage",IF(Feuil1!E27=1,0.4*Feuil1!D27,IF(Feuil1!E27=2,0.35*Feuil1!D27,IF(Feuil1!E27=3,0.3*Feuil1!D27,0))),0),0)</f>
        <v>0</v>
      </c>
      <c r="I27" s="90">
        <f>IF('Saisie immeuble'!$C$7="oui",IF(AND(Feuil1!E27=1,('Saisie immeuble'!$C$4=Feuil1!$C$5)),0.3*Feuil1!D27,IF(AND(Feuil1!E27=1,('Saisie immeuble'!$C$4=Feuil1!$C$6)),0.2*Feuil1!D27,IF(AND(Feuil1!E27=2,('Saisie immeuble'!$C$4=Feuil1!$C$5)),0.25*Feuil1!D27,IF(AND(Feuil1!E27=2,('Saisie immeuble'!$C$4=Feuil1!$C$6)),0.15*Feuil1!D27,IF(AND(Feuil1!E27=3,('Saisie immeuble'!$C$4=Feuil1!$C$5)),0.2*Feuil1!D27,IF(AND(Feuil1!E27=3,('Saisie immeuble'!$C$4=Feuil1!$C$6)),0.12*Feuil1!D27)))))),0)</f>
        <v>0</v>
      </c>
      <c r="J27" s="90">
        <f>IF('Saisie immeuble'!$C$8="oui",IF(AND(Feuil1!E27=1,('Saisie immeuble'!$C$4=Feuil1!$C$5)),0.22*Feuil1!D27,IF(AND(Feuil1!E27=1,('Saisie immeuble'!$C$4=Feuil1!$C$6)),0.14*Feuil1!D27,IF(AND(Feuil1!E27=2,('Saisie immeuble'!$C$4=Feuil1!$C$5)),0.2*Feuil1!D27,IF(AND(Feuil1!E27=2,('Saisie immeuble'!$C$4=Feuil1!$C$6)),0.12*Feuil1!D27,IF(AND(Feuil1!E27=3,('Saisie immeuble'!$C$4=Feuil1!$C$5)),0.16*Feuil1!D27,IF(AND(Feuil1!E27=3,('Saisie immeuble'!$C$4=Feuil1!$C$6)),0.1*Feuil1!D27)))))),0)</f>
        <v>0</v>
      </c>
      <c r="K27" s="90">
        <f>IF('Saisie immeuble'!$F$7="oui",IF('Saisie immeuble'!D24="rez de chaussée",IF(Feuil1!E27=1,0.2*Feuil1!D27,IF(Feuil1!E27=2,0.16*Feuil1!D27,IF(Feuil1!E27=3,0.12*Feuil1!D27,0))),0),0)</f>
        <v>0</v>
      </c>
      <c r="L27" s="1">
        <f>IF('Saisie immeuble'!C24&gt;0,IF('Saisie immeuble'!C24&gt;57,('Saisie immeuble'!C24-57)*55,('Saisie immeuble'!C24-57)*35),0)</f>
        <v>0</v>
      </c>
      <c r="M27" s="1">
        <f>IF('Saisie immeuble'!C24&gt;0,IF('Saisie immeuble'!$H$7=Feuil1!$B$78,IF(Feuil1!E27=1,700,IF(Feuil1!E27=2,550,400)),IF('Saisie immeuble'!$H$7=Feuil1!$B$79,IF(Feuil1!E27=1,350,IF(Feuil1!E27=2,275,200)),0))*(1-((57-'Saisie immeuble'!C24)/100)),0)</f>
        <v>0</v>
      </c>
      <c r="N27" s="90" t="e">
        <f>D27-IF('Saisie immeuble'!G24=Feuil1!$B$68,Feuil1!F27,IF('Saisie immeuble'!G24=Feuil1!$B$69,G27,0))-H27-I27-J27+L27-K27+M27</f>
        <v>#N/A</v>
      </c>
      <c r="O27" s="90" t="e">
        <f t="shared" si="6"/>
        <v>#N/A</v>
      </c>
      <c r="P27" s="90" t="e">
        <f>IF('Saisie immeuble'!$C$5="individuel",N27/AJ27,O27/AJ27)</f>
        <v>#N/A</v>
      </c>
      <c r="Q27" s="99" t="e">
        <f t="shared" si="7"/>
        <v>#N/A</v>
      </c>
      <c r="R27" s="52" t="e">
        <f>VLOOKUP('Saisie immeuble'!E24,Feuil1!$G$58:$I$75,3,0)</f>
        <v>#N/A</v>
      </c>
      <c r="S27" s="1" t="e">
        <f>VLOOKUP('Saisie immeuble'!F24,Feuil1!$Q$57:$U$70,5,FALSE)</f>
        <v>#N/A</v>
      </c>
      <c r="T27" s="1" t="e">
        <f>IF(AND(R27&lt;&gt;"élec",(S27&lt;&gt;"élec"),('Saisie immeuble'!C24&lt;40)),'Référence&amp;tarifs'!$A$6,IF(AND(R27="élec",(S27="élec")),'Référence&amp;tarifs'!$A$8,'Référence&amp;tarifs'!$A$7))</f>
        <v>#N/A</v>
      </c>
      <c r="U27" s="1" t="e">
        <f>VLOOKUP(T27,'Référence&amp;tarifs'!$A$6:$C$10,2,FALSE)</f>
        <v>#N/A</v>
      </c>
      <c r="V27" s="1" t="e">
        <f>VLOOKUP(T27,'Référence&amp;tarifs'!$A$6:$C$10,3,FALSE)</f>
        <v>#N/A</v>
      </c>
      <c r="W27" s="1"/>
      <c r="X27" s="51" t="e">
        <f>IF('Résultat immeuble'!S17&lt;1.1,HLOOKUP(Feuil1!T27,'Référence&amp;tarifs'!#REF!,2,FALSE),IF('Résultat immeuble'!S17&gt;1.9,HLOOKUP(Feuil1!T27,'Référence&amp;tarifs'!#REF!,4,FALSE),HLOOKUP(Feuil1!T27,'Référence&amp;tarifs'!#REF!,3,FALSE)))</f>
        <v>#N/A</v>
      </c>
      <c r="Y27" s="52" t="e">
        <f>IF(R27="gaz",N27,0)+IF(S27="gaz",AT27,0)+IF('Saisie immeuble'!H24="gaz de ville",Feuil1!AH27,0)</f>
        <v>#N/A</v>
      </c>
      <c r="Z27" s="1" t="e">
        <f>IF(Y27&lt;1000,'Référence&amp;tarifs'!$A$16,IF(Y27&gt;5999,'Référence&amp;tarifs'!$A$18,'Référence&amp;tarifs'!$A$17))</f>
        <v>#N/A</v>
      </c>
      <c r="AA27" s="1" t="e">
        <f>VLOOKUP(Z27,'Référence&amp;tarifs'!$A$16:$C$18,2,FALSE)</f>
        <v>#N/A</v>
      </c>
      <c r="AB27" s="1" t="e">
        <f>VLOOKUP(Z27,'Référence&amp;tarifs'!$A$16:$C$18,3,FALSE)</f>
        <v>#N/A</v>
      </c>
      <c r="AC27" s="58" t="b">
        <f>IF('Saisie immeuble'!$C$5="individuel",IF('Résultat immeuble'!S17=1,HLOOKUP(Feuil1!Z27,'Référence&amp;tarifs'!#REF!,2,FALSE),IF('Résultat immeuble'!S17&gt;1.9,HLOOKUP(Feuil1!Z27,'Référence&amp;tarifs'!#REF!,4,FALSE),HLOOKUP(Feuil1!Z27,'Référence&amp;tarifs'!#REF!,3,FALSE))),IF('Saisie immeuble'!$C$5="collectif",IF('Résultat immeuble'!S17=1,'Référence&amp;tarifs'!#REF!,IF('Résultat immeuble'!S17&gt;1.9,'Référence&amp;tarifs'!#REF!,IF(AND('Résultat immeuble'!S17&lt;2,('Résultat immeuble'!S17&gt;1)),'Référence&amp;tarifs'!#REF!,0)))))</f>
        <v>0</v>
      </c>
      <c r="AD27" s="109">
        <f>IF('Saisie immeuble'!I24+'Saisie immeuble'!J24&gt;0,18*'Saisie immeuble'!C24+3.5*('Saisie immeuble'!I24+'Saisie immeuble'!J24-1)*'Saisie immeuble'!C24,0)</f>
        <v>0</v>
      </c>
      <c r="AE27" s="110"/>
      <c r="AF27" s="111"/>
      <c r="AG27" s="97" t="e">
        <f t="shared" si="8"/>
        <v>#N/A</v>
      </c>
      <c r="AH27" s="52">
        <f>IF('Saisie immeuble'!I24+'Saisie immeuble'!J24&gt;0,350+80*('Saisie immeuble'!I24+'Saisie immeuble'!J24-1),0)</f>
        <v>0</v>
      </c>
      <c r="AI27" s="97" t="e">
        <f>IF('Saisie immeuble'!H24="gaz de ville",Feuil1!AB27,IF('Saisie immeuble'!H24=$B$72,V27,0))*Feuil1!AH27+IF(AND(R27&lt;&gt;"gaz",(S27&lt;&gt;"gaz"),('Saisie immeuble'!H24="gaz de ville")),Feuil1!AA27,0)</f>
        <v>#N/A</v>
      </c>
      <c r="AJ27" s="52" t="e">
        <f>VLOOKUP('Saisie immeuble'!E24,Feuil1!$G$58:$I$75,2,FALSE)</f>
        <v>#N/A</v>
      </c>
      <c r="AK27" s="1" t="e">
        <f>VLOOKUP('Saisie immeuble'!E24,Feuil1!$G$58:$I$75,3,FALSE)</f>
        <v>#N/A</v>
      </c>
      <c r="AL27" s="98" t="e">
        <f>IF(AK27="élec",V27,IF(AK27="gaz",AB27,IF(AK27="fioul",'Référence&amp;tarifs'!$B$25,IF(AK27="bois buche",'Référence&amp;tarifs'!$B$23,IF(AK27="bois granulés",'Référence&amp;tarifs'!$B$24,IF(AK27=I71,0.8*('Référence&amp;tarifs'!$B$23+'Référence&amp;tarifs'!B29)/2+0.2*Feuil1!AB27,0))))))</f>
        <v>#N/A</v>
      </c>
      <c r="AM27" s="52">
        <f>IF('Saisie immeuble'!I24+'Saisie immeuble'!J24&gt;0,Feuil1!$AM$13+2*('Saisie immeuble'!I24+'Saisie immeuble'!J24-1),0)</f>
        <v>0</v>
      </c>
      <c r="AN27" s="1">
        <f>IF('Saisie immeuble'!I24+'Saisie immeuble'!J24&gt;0,Feuil1!$AN$13*('Saisie immeuble'!I24+'Saisie immeuble'!J24),0)</f>
        <v>0</v>
      </c>
      <c r="AO27" s="1">
        <f>IF('Saisie immeuble'!I24+'Saisie immeuble'!J24&gt;0,Feuil1!$AO$13+3*('Saisie immeuble'!I24+'Saisie immeuble'!J24-1),0)</f>
        <v>0</v>
      </c>
      <c r="AP27" s="1">
        <f>IF('Saisie immeuble'!I24+'Saisie immeuble'!J24&gt;0,Feuil1!$AP$13+2*('Saisie immeuble'!I24+'Saisie immeuble'!J24-1),0)</f>
        <v>0</v>
      </c>
      <c r="AQ27" s="1">
        <f>IF('Saisie immeuble'!I24+'Saisie immeuble'!J24&gt;0,Feuil1!$AQ$13*('Saisie immeuble'!I24+'Saisie immeuble'!J24),0)</f>
        <v>0</v>
      </c>
      <c r="AR27" s="1">
        <f t="shared" si="9"/>
        <v>0</v>
      </c>
      <c r="AS27" s="99" t="e">
        <f>AR27*'Saisie immeuble'!$F$8+IF(AND(R27&lt;&gt;"gaz",(S27="gaz")),AA27,0)</f>
        <v>#N/A</v>
      </c>
      <c r="AT27" s="52">
        <f>IF('Saisie immeuble'!I24+'Saisie immeuble'!J24&gt;0,1100+700*('Saisie immeuble'!I24+'Saisie immeuble'!J24-1),0)</f>
        <v>0</v>
      </c>
      <c r="AU27" s="3" t="e">
        <f>IF(AW27="élec",Feuil1!V27,IF(AW27="gaz",Feuil1!AB27,IF(AW27="fioul",'Référence&amp;tarifs'!$B$25,IF(AW27="bois",('Référence&amp;tarifs'!$B$23+'Référence&amp;tarifs'!$B$24)/2,0))))</f>
        <v>#N/A</v>
      </c>
      <c r="AV27" s="1" t="e">
        <f>VLOOKUP('Saisie immeuble'!F24,Feuil1!$Q$57:$U$70,4,FALSE)</f>
        <v>#N/A</v>
      </c>
      <c r="AW27" s="1" t="e">
        <f>VLOOKUP('Saisie immeuble'!F24,Feuil1!$Q$57:$U$70,5,FALSE)</f>
        <v>#N/A</v>
      </c>
      <c r="AX27" s="97" t="e">
        <f t="shared" si="10"/>
        <v>#N/A</v>
      </c>
    </row>
    <row r="28" spans="2:50" x14ac:dyDescent="0.3">
      <c r="B28" s="52" t="s">
        <v>15</v>
      </c>
      <c r="C28" s="1">
        <f>IF('Saisie immeuble'!D25=Feuil1!$B$4,4,IF(AND('Saisie immeuble'!D25=$B$5,('Saisie immeuble'!$C$4=Feuil1!$C$5)),5,IF(AND('Saisie immeuble'!D25=$B$5,('Saisie immeuble'!$C$4=Feuil1!$C$6)),6,IF(AND('Saisie immeuble'!D25=Feuil1!$B$7,('Saisie immeuble'!$C$4=Feuil1!$C$7)),7,IF(AND('Saisie immeuble'!D25=Feuil1!$B$7,('Saisie immeuble'!$C$4=Feuil1!$C$8)),8,0)))))</f>
        <v>0</v>
      </c>
      <c r="D28" s="90" t="e">
        <f>HLOOKUP('Saisie immeuble'!$C$3,Feuil1!$D$1:$BM$8,Feuil1!C28,FALSE)</f>
        <v>#N/A</v>
      </c>
      <c r="E28" s="1" t="e">
        <f>HLOOKUP('Saisie immeuble'!$C$3,Feuil1!$D$1:$BM$8,3,FALSE)</f>
        <v>#N/A</v>
      </c>
      <c r="F28" s="1" t="e">
        <f>IF(E28=1,450+'Saisie immeuble'!C25*6,IF(E28=2,300+'Saisie immeuble'!C25*5,150+'Saisie immeuble'!C25*3))</f>
        <v>#N/A</v>
      </c>
      <c r="G28" s="1" t="e">
        <f>IF(E28=1,1400+'Saisie immeuble'!C25*6,IF(E28=2,1100+'Saisie immeuble'!C25*6,500+'Saisie immeuble'!C25*6))</f>
        <v>#N/A</v>
      </c>
      <c r="H28" s="90">
        <f>IF('Saisie immeuble'!$C$6="oui",IF('Saisie immeuble'!D25="dernier étage",IF(Feuil1!E28=1,0.4*Feuil1!D28,IF(Feuil1!E28=2,0.35*Feuil1!D28,IF(Feuil1!E28=3,0.3*Feuil1!D28,0))),0),0)</f>
        <v>0</v>
      </c>
      <c r="I28" s="90">
        <f>IF('Saisie immeuble'!$C$7="oui",IF(AND(Feuil1!E28=1,('Saisie immeuble'!$C$4=Feuil1!$C$5)),0.3*Feuil1!D28,IF(AND(Feuil1!E28=1,('Saisie immeuble'!$C$4=Feuil1!$C$6)),0.2*Feuil1!D28,IF(AND(Feuil1!E28=2,('Saisie immeuble'!$C$4=Feuil1!$C$5)),0.25*Feuil1!D28,IF(AND(Feuil1!E28=2,('Saisie immeuble'!$C$4=Feuil1!$C$6)),0.15*Feuil1!D28,IF(AND(Feuil1!E28=3,('Saisie immeuble'!$C$4=Feuil1!$C$5)),0.2*Feuil1!D28,IF(AND(Feuil1!E28=3,('Saisie immeuble'!$C$4=Feuil1!$C$6)),0.12*Feuil1!D28)))))),0)</f>
        <v>0</v>
      </c>
      <c r="J28" s="90">
        <f>IF('Saisie immeuble'!$C$8="oui",IF(AND(Feuil1!E28=1,('Saisie immeuble'!$C$4=Feuil1!$C$5)),0.22*Feuil1!D28,IF(AND(Feuil1!E28=1,('Saisie immeuble'!$C$4=Feuil1!$C$6)),0.14*Feuil1!D28,IF(AND(Feuil1!E28=2,('Saisie immeuble'!$C$4=Feuil1!$C$5)),0.2*Feuil1!D28,IF(AND(Feuil1!E28=2,('Saisie immeuble'!$C$4=Feuil1!$C$6)),0.12*Feuil1!D28,IF(AND(Feuil1!E28=3,('Saisie immeuble'!$C$4=Feuil1!$C$5)),0.16*Feuil1!D28,IF(AND(Feuil1!E28=3,('Saisie immeuble'!$C$4=Feuil1!$C$6)),0.1*Feuil1!D28)))))),0)</f>
        <v>0</v>
      </c>
      <c r="K28" s="90">
        <f>IF('Saisie immeuble'!$F$7="oui",IF('Saisie immeuble'!D25="rez de chaussée",IF(Feuil1!E28=1,0.2*Feuil1!D28,IF(Feuil1!E28=2,0.16*Feuil1!D28,IF(Feuil1!E28=3,0.12*Feuil1!D28,0))),0),0)</f>
        <v>0</v>
      </c>
      <c r="L28" s="1">
        <f>IF('Saisie immeuble'!C25&gt;0,IF('Saisie immeuble'!C25&gt;57,('Saisie immeuble'!C25-57)*55,('Saisie immeuble'!C25-57)*35),0)</f>
        <v>0</v>
      </c>
      <c r="M28" s="1">
        <f>IF('Saisie immeuble'!C25&gt;0,IF('Saisie immeuble'!$H$7=Feuil1!$B$78,IF(Feuil1!E28=1,700,IF(Feuil1!E28=2,550,400)),IF('Saisie immeuble'!$H$7=Feuil1!$B$79,IF(Feuil1!E28=1,350,IF(Feuil1!E28=2,275,200)),0))*(1-((57-'Saisie immeuble'!C25)/100)),0)</f>
        <v>0</v>
      </c>
      <c r="N28" s="90" t="e">
        <f>D28-IF('Saisie immeuble'!G25=Feuil1!$B$68,Feuil1!F28,IF('Saisie immeuble'!G25=Feuil1!$B$69,G28,0))-H28-I28-J28+L28-K28+M28</f>
        <v>#N/A</v>
      </c>
      <c r="O28" s="90" t="e">
        <f t="shared" si="6"/>
        <v>#N/A</v>
      </c>
      <c r="P28" s="90" t="e">
        <f>IF('Saisie immeuble'!$C$5="individuel",N28/AJ28,O28/AJ28)</f>
        <v>#N/A</v>
      </c>
      <c r="Q28" s="99" t="e">
        <f t="shared" si="7"/>
        <v>#N/A</v>
      </c>
      <c r="R28" s="52" t="e">
        <f>VLOOKUP('Saisie immeuble'!E25,Feuil1!$G$58:$I$75,3,0)</f>
        <v>#N/A</v>
      </c>
      <c r="S28" s="1" t="e">
        <f>VLOOKUP('Saisie immeuble'!F25,Feuil1!$Q$57:$U$70,5,FALSE)</f>
        <v>#N/A</v>
      </c>
      <c r="T28" s="1" t="e">
        <f>IF(AND(R28&lt;&gt;"élec",(S28&lt;&gt;"élec"),('Saisie immeuble'!C25&lt;40)),'Référence&amp;tarifs'!$A$6,IF(AND(R28="élec",(S28="élec")),'Référence&amp;tarifs'!$A$8,'Référence&amp;tarifs'!$A$7))</f>
        <v>#N/A</v>
      </c>
      <c r="U28" s="1" t="e">
        <f>VLOOKUP(T28,'Référence&amp;tarifs'!$A$6:$C$10,2,FALSE)</f>
        <v>#N/A</v>
      </c>
      <c r="V28" s="1" t="e">
        <f>VLOOKUP(T28,'Référence&amp;tarifs'!$A$6:$C$10,3,FALSE)</f>
        <v>#N/A</v>
      </c>
      <c r="W28" s="1"/>
      <c r="X28" s="51" t="e">
        <f>IF('Résultat immeuble'!S19&lt;1.1,HLOOKUP(Feuil1!T28,'Référence&amp;tarifs'!#REF!,2,FALSE),IF('Résultat immeuble'!S19&gt;1.9,HLOOKUP(Feuil1!T28,'Référence&amp;tarifs'!#REF!,4,FALSE),HLOOKUP(Feuil1!T28,'Référence&amp;tarifs'!#REF!,3,FALSE)))</f>
        <v>#N/A</v>
      </c>
      <c r="Y28" s="52" t="e">
        <f>IF(R28="gaz",N28,0)+IF(S28="gaz",AT28,0)+IF('Saisie immeuble'!H25="gaz de ville",Feuil1!AH28,0)</f>
        <v>#N/A</v>
      </c>
      <c r="Z28" s="1" t="e">
        <f>IF(Y28&lt;1000,'Référence&amp;tarifs'!$A$16,IF(Y28&gt;5999,'Référence&amp;tarifs'!$A$18,'Référence&amp;tarifs'!$A$17))</f>
        <v>#N/A</v>
      </c>
      <c r="AA28" s="1" t="e">
        <f>VLOOKUP(Z28,'Référence&amp;tarifs'!$A$16:$C$18,2,FALSE)</f>
        <v>#N/A</v>
      </c>
      <c r="AB28" s="1" t="e">
        <f>VLOOKUP(Z28,'Référence&amp;tarifs'!$A$16:$C$18,3,FALSE)</f>
        <v>#N/A</v>
      </c>
      <c r="AC28" s="58" t="b">
        <f>IF('Saisie immeuble'!$C$5="individuel",IF('Résultat immeuble'!S19=1,HLOOKUP(Feuil1!Z28,'Référence&amp;tarifs'!#REF!,2,FALSE),IF('Résultat immeuble'!S19&gt;1.9,HLOOKUP(Feuil1!Z28,'Référence&amp;tarifs'!#REF!,4,FALSE),HLOOKUP(Feuil1!Z28,'Référence&amp;tarifs'!#REF!,3,FALSE))),IF('Saisie immeuble'!$C$5="collectif",IF('Résultat immeuble'!S19=1,'Référence&amp;tarifs'!#REF!,IF('Résultat immeuble'!S19&gt;1.9,'Référence&amp;tarifs'!#REF!,IF(AND('Résultat immeuble'!S19&lt;2,('Résultat immeuble'!S19&gt;1)),'Référence&amp;tarifs'!#REF!,0)))))</f>
        <v>0</v>
      </c>
      <c r="AD28" s="109">
        <f>IF('Saisie immeuble'!I25+'Saisie immeuble'!J25&gt;0,18*'Saisie immeuble'!C25+3.5*('Saisie immeuble'!I25+'Saisie immeuble'!J25-1)*'Saisie immeuble'!C25,0)</f>
        <v>0</v>
      </c>
      <c r="AE28" s="110"/>
      <c r="AF28" s="111"/>
      <c r="AG28" s="97" t="e">
        <f t="shared" si="8"/>
        <v>#N/A</v>
      </c>
      <c r="AH28" s="52">
        <f>IF('Saisie immeuble'!I25+'Saisie immeuble'!J25&gt;0,350+80*('Saisie immeuble'!I25+'Saisie immeuble'!J25-1),0)</f>
        <v>0</v>
      </c>
      <c r="AI28" s="97" t="e">
        <f>IF('Saisie immeuble'!H25="gaz de ville",Feuil1!AB28,IF('Saisie immeuble'!H25=$B$72,V28,0))*Feuil1!AH28+IF(AND(R28&lt;&gt;"gaz",(S28&lt;&gt;"gaz"),('Saisie immeuble'!H25="gaz de ville")),Feuil1!AA28,0)</f>
        <v>#N/A</v>
      </c>
      <c r="AJ28" s="52" t="e">
        <f>VLOOKUP('Saisie immeuble'!E25,Feuil1!$G$58:$I$75,2,FALSE)</f>
        <v>#N/A</v>
      </c>
      <c r="AK28" s="1" t="e">
        <f>VLOOKUP('Saisie immeuble'!E25,Feuil1!$G$58:$I$75,3,FALSE)</f>
        <v>#N/A</v>
      </c>
      <c r="AL28" s="98" t="e">
        <f>IF(AK28="élec",V28,IF(AK28="gaz",AB28,IF(AK28="fioul",'Référence&amp;tarifs'!$B$25,IF(AK28="bois buche",'Référence&amp;tarifs'!$B$23,IF(AK28="bois granulés",'Référence&amp;tarifs'!$B$24,IF(AK28=I72,0.8*('Référence&amp;tarifs'!$B$23+'Référence&amp;tarifs'!B30)/2+0.2*Feuil1!AB28,0))))))</f>
        <v>#N/A</v>
      </c>
      <c r="AM28" s="52">
        <f>IF('Saisie immeuble'!I25+'Saisie immeuble'!J25&gt;0,Feuil1!$AM$13+2*('Saisie immeuble'!I25+'Saisie immeuble'!J25-1),0)</f>
        <v>0</v>
      </c>
      <c r="AN28" s="1">
        <f>IF('Saisie immeuble'!I25+'Saisie immeuble'!J25&gt;0,Feuil1!$AN$13*('Saisie immeuble'!I25+'Saisie immeuble'!J25),0)</f>
        <v>0</v>
      </c>
      <c r="AO28" s="1">
        <f>IF('Saisie immeuble'!I25+'Saisie immeuble'!J25&gt;0,Feuil1!$AO$13+3*('Saisie immeuble'!I25+'Saisie immeuble'!J25-1),0)</f>
        <v>0</v>
      </c>
      <c r="AP28" s="1">
        <f>IF('Saisie immeuble'!I25+'Saisie immeuble'!J25&gt;0,Feuil1!$AP$13+2*('Saisie immeuble'!I25+'Saisie immeuble'!J25-1),0)</f>
        <v>0</v>
      </c>
      <c r="AQ28" s="1">
        <f>IF('Saisie immeuble'!I25+'Saisie immeuble'!J25&gt;0,Feuil1!$AQ$13*('Saisie immeuble'!I25+'Saisie immeuble'!J25),0)</f>
        <v>0</v>
      </c>
      <c r="AR28" s="1">
        <f t="shared" si="9"/>
        <v>0</v>
      </c>
      <c r="AS28" s="99" t="e">
        <f>AR28*'Saisie immeuble'!$F$8+IF(AND(R28&lt;&gt;"gaz",(S28="gaz")),AA28,0)</f>
        <v>#N/A</v>
      </c>
      <c r="AT28" s="52">
        <f>IF('Saisie immeuble'!I25+'Saisie immeuble'!J25&gt;0,1100+700*('Saisie immeuble'!I25+'Saisie immeuble'!J25-1),0)</f>
        <v>0</v>
      </c>
      <c r="AU28" s="3" t="e">
        <f>IF(AW28="élec",Feuil1!V28,IF(AW28="gaz",Feuil1!AB28,IF(AW28="fioul",'Référence&amp;tarifs'!$B$25,IF(AW28="bois",('Référence&amp;tarifs'!$B$23+'Référence&amp;tarifs'!$B$24)/2,0))))</f>
        <v>#N/A</v>
      </c>
      <c r="AV28" s="1" t="e">
        <f>VLOOKUP('Saisie immeuble'!F25,Feuil1!$Q$57:$U$70,4,FALSE)</f>
        <v>#N/A</v>
      </c>
      <c r="AW28" s="1" t="e">
        <f>VLOOKUP('Saisie immeuble'!F25,Feuil1!$Q$57:$U$70,5,FALSE)</f>
        <v>#N/A</v>
      </c>
      <c r="AX28" s="97" t="e">
        <f t="shared" si="10"/>
        <v>#N/A</v>
      </c>
    </row>
    <row r="29" spans="2:50" x14ac:dyDescent="0.3">
      <c r="B29" s="52" t="s">
        <v>16</v>
      </c>
      <c r="C29" s="1">
        <f>IF('Saisie immeuble'!D26=Feuil1!$B$4,4,IF(AND('Saisie immeuble'!D26=$B$5,('Saisie immeuble'!$C$4=Feuil1!$C$5)),5,IF(AND('Saisie immeuble'!D26=$B$5,('Saisie immeuble'!$C$4=Feuil1!$C$6)),6,IF(AND('Saisie immeuble'!D26=Feuil1!$B$7,('Saisie immeuble'!$C$4=Feuil1!$C$7)),7,IF(AND('Saisie immeuble'!D26=Feuil1!$B$7,('Saisie immeuble'!$C$4=Feuil1!$C$8)),8,0)))))</f>
        <v>0</v>
      </c>
      <c r="D29" s="90" t="e">
        <f>HLOOKUP('Saisie immeuble'!$C$3,Feuil1!$D$1:$BM$8,Feuil1!C29,FALSE)</f>
        <v>#N/A</v>
      </c>
      <c r="E29" s="1" t="e">
        <f>HLOOKUP('Saisie immeuble'!$C$3,Feuil1!$D$1:$BM$8,3,FALSE)</f>
        <v>#N/A</v>
      </c>
      <c r="F29" s="1" t="e">
        <f>IF(E29=1,450+'Saisie immeuble'!C26*6,IF(E29=2,300+'Saisie immeuble'!C26*5,150+'Saisie immeuble'!C26*3))</f>
        <v>#N/A</v>
      </c>
      <c r="G29" s="1" t="e">
        <f>IF(E29=1,1400+'Saisie immeuble'!C26*6,IF(E29=2,1100+'Saisie immeuble'!C26*6,500+'Saisie immeuble'!C26*6))</f>
        <v>#N/A</v>
      </c>
      <c r="H29" s="90">
        <f>IF('Saisie immeuble'!$C$6="oui",IF('Saisie immeuble'!D26="dernier étage",IF(Feuil1!E29=1,0.4*Feuil1!D29,IF(Feuil1!E29=2,0.35*Feuil1!D29,IF(Feuil1!E29=3,0.3*Feuil1!D29,0))),0),0)</f>
        <v>0</v>
      </c>
      <c r="I29" s="90">
        <f>IF('Saisie immeuble'!$C$7="oui",IF(AND(Feuil1!E29=1,('Saisie immeuble'!$C$4=Feuil1!$C$5)),0.3*Feuil1!D29,IF(AND(Feuil1!E29=1,('Saisie immeuble'!$C$4=Feuil1!$C$6)),0.2*Feuil1!D29,IF(AND(Feuil1!E29=2,('Saisie immeuble'!$C$4=Feuil1!$C$5)),0.25*Feuil1!D29,IF(AND(Feuil1!E29=2,('Saisie immeuble'!$C$4=Feuil1!$C$6)),0.15*Feuil1!D29,IF(AND(Feuil1!E29=3,('Saisie immeuble'!$C$4=Feuil1!$C$5)),0.2*Feuil1!D29,IF(AND(Feuil1!E29=3,('Saisie immeuble'!$C$4=Feuil1!$C$6)),0.12*Feuil1!D29)))))),0)</f>
        <v>0</v>
      </c>
      <c r="J29" s="90">
        <f>IF('Saisie immeuble'!$C$8="oui",IF(AND(Feuil1!E29=1,('Saisie immeuble'!$C$4=Feuil1!$C$5)),0.22*Feuil1!D29,IF(AND(Feuil1!E29=1,('Saisie immeuble'!$C$4=Feuil1!$C$6)),0.14*Feuil1!D29,IF(AND(Feuil1!E29=2,('Saisie immeuble'!$C$4=Feuil1!$C$5)),0.2*Feuil1!D29,IF(AND(Feuil1!E29=2,('Saisie immeuble'!$C$4=Feuil1!$C$6)),0.12*Feuil1!D29,IF(AND(Feuil1!E29=3,('Saisie immeuble'!$C$4=Feuil1!$C$5)),0.16*Feuil1!D29,IF(AND(Feuil1!E29=3,('Saisie immeuble'!$C$4=Feuil1!$C$6)),0.1*Feuil1!D29)))))),0)</f>
        <v>0</v>
      </c>
      <c r="K29" s="90">
        <f>IF('Saisie immeuble'!$F$7="oui",IF('Saisie immeuble'!D26="rez de chaussée",IF(Feuil1!E29=1,0.2*Feuil1!D29,IF(Feuil1!E29=2,0.16*Feuil1!D29,IF(Feuil1!E29=3,0.12*Feuil1!D29,0))),0),0)</f>
        <v>0</v>
      </c>
      <c r="L29" s="1">
        <f>IF('Saisie immeuble'!C26&gt;0,IF('Saisie immeuble'!C26&gt;57,('Saisie immeuble'!C26-57)*55,('Saisie immeuble'!C26-57)*35),0)</f>
        <v>0</v>
      </c>
      <c r="M29" s="1">
        <f>IF('Saisie immeuble'!C26&gt;0,IF('Saisie immeuble'!$H$7=Feuil1!$B$78,IF(Feuil1!E29=1,700,IF(Feuil1!E29=2,550,400)),IF('Saisie immeuble'!$H$7=Feuil1!$B$79,IF(Feuil1!E29=1,350,IF(Feuil1!E29=2,275,200)),0))*(1-((57-'Saisie immeuble'!C26)/100)),0)</f>
        <v>0</v>
      </c>
      <c r="N29" s="90" t="e">
        <f>D29-IF('Saisie immeuble'!G26=Feuil1!$B$68,Feuil1!F29,IF('Saisie immeuble'!G26=Feuil1!$B$69,G29,0))-H29-I29-J29+L29-K29+M29</f>
        <v>#N/A</v>
      </c>
      <c r="O29" s="90" t="e">
        <f t="shared" si="6"/>
        <v>#N/A</v>
      </c>
      <c r="P29" s="90" t="e">
        <f>IF('Saisie immeuble'!$C$5="individuel",N29/AJ29,O29/AJ29)</f>
        <v>#N/A</v>
      </c>
      <c r="Q29" s="99" t="e">
        <f t="shared" si="7"/>
        <v>#N/A</v>
      </c>
      <c r="R29" s="52" t="e">
        <f>VLOOKUP('Saisie immeuble'!E26,Feuil1!$G$58:$I$75,3,0)</f>
        <v>#N/A</v>
      </c>
      <c r="S29" s="1" t="e">
        <f>VLOOKUP('Saisie immeuble'!F26,Feuil1!$Q$57:$U$70,5,FALSE)</f>
        <v>#N/A</v>
      </c>
      <c r="T29" s="1" t="e">
        <f>IF(AND(R29&lt;&gt;"élec",(S29&lt;&gt;"élec"),('Saisie immeuble'!C26&lt;40)),'Référence&amp;tarifs'!$A$6,IF(AND(R29="élec",(S29="élec")),'Référence&amp;tarifs'!$A$8,'Référence&amp;tarifs'!$A$7))</f>
        <v>#N/A</v>
      </c>
      <c r="U29" s="1" t="e">
        <f>VLOOKUP(T29,'Référence&amp;tarifs'!$A$6:$C$10,2,FALSE)</f>
        <v>#N/A</v>
      </c>
      <c r="V29" s="1" t="e">
        <f>VLOOKUP(T29,'Référence&amp;tarifs'!$A$6:$C$10,3,FALSE)</f>
        <v>#N/A</v>
      </c>
      <c r="W29" s="1"/>
      <c r="X29" s="51" t="e">
        <f>IF('Résultat immeuble'!S20&lt;1.1,HLOOKUP(Feuil1!T29,'Référence&amp;tarifs'!#REF!,2,FALSE),IF('Résultat immeuble'!S20&gt;1.9,HLOOKUP(Feuil1!T29,'Référence&amp;tarifs'!#REF!,4,FALSE),HLOOKUP(Feuil1!T29,'Référence&amp;tarifs'!#REF!,3,FALSE)))</f>
        <v>#N/A</v>
      </c>
      <c r="Y29" s="52" t="e">
        <f>IF(R29="gaz",N29,0)+IF(S29="gaz",AT29,0)+IF('Saisie immeuble'!H26="gaz de ville",Feuil1!AH29,0)</f>
        <v>#N/A</v>
      </c>
      <c r="Z29" s="1" t="e">
        <f>IF(Y29&lt;1000,'Référence&amp;tarifs'!$A$16,IF(Y29&gt;5999,'Référence&amp;tarifs'!$A$18,'Référence&amp;tarifs'!$A$17))</f>
        <v>#N/A</v>
      </c>
      <c r="AA29" s="1" t="e">
        <f>VLOOKUP(Z29,'Référence&amp;tarifs'!$A$16:$C$18,2,FALSE)</f>
        <v>#N/A</v>
      </c>
      <c r="AB29" s="1" t="e">
        <f>VLOOKUP(Z29,'Référence&amp;tarifs'!$A$16:$C$18,3,FALSE)</f>
        <v>#N/A</v>
      </c>
      <c r="AC29" s="58" t="b">
        <f>IF('Saisie immeuble'!$C$5="individuel",IF('Résultat immeuble'!S20=1,HLOOKUP(Feuil1!Z29,'Référence&amp;tarifs'!#REF!,2,FALSE),IF('Résultat immeuble'!S20&gt;1.9,HLOOKUP(Feuil1!Z29,'Référence&amp;tarifs'!#REF!,4,FALSE),HLOOKUP(Feuil1!Z29,'Référence&amp;tarifs'!#REF!,3,FALSE))),IF('Saisie immeuble'!$C$5="collectif",IF('Résultat immeuble'!S20=1,'Référence&amp;tarifs'!#REF!,IF('Résultat immeuble'!S20&gt;1.9,'Référence&amp;tarifs'!#REF!,IF(AND('Résultat immeuble'!S20&lt;2,('Résultat immeuble'!S20&gt;1)),'Référence&amp;tarifs'!#REF!,0)))))</f>
        <v>0</v>
      </c>
      <c r="AD29" s="109">
        <f>IF('Saisie immeuble'!I26+'Saisie immeuble'!J26&gt;0,18*'Saisie immeuble'!C26+3.5*('Saisie immeuble'!I26+'Saisie immeuble'!J26-1)*'Saisie immeuble'!C26,0)</f>
        <v>0</v>
      </c>
      <c r="AE29" s="110"/>
      <c r="AF29" s="111"/>
      <c r="AG29" s="97" t="e">
        <f t="shared" si="8"/>
        <v>#N/A</v>
      </c>
      <c r="AH29" s="52">
        <f>IF('Saisie immeuble'!I26+'Saisie immeuble'!J26&gt;0,350+80*('Saisie immeuble'!I26+'Saisie immeuble'!J26-1),0)</f>
        <v>0</v>
      </c>
      <c r="AI29" s="97" t="e">
        <f>IF('Saisie immeuble'!H26="gaz de ville",Feuil1!AB29,IF('Saisie immeuble'!H26=$B$72,V29,0))*Feuil1!AH29+IF(AND(R29&lt;&gt;"gaz",(S29&lt;&gt;"gaz"),('Saisie immeuble'!H26="gaz de ville")),Feuil1!AA29,0)</f>
        <v>#N/A</v>
      </c>
      <c r="AJ29" s="52" t="e">
        <f>VLOOKUP('Saisie immeuble'!E26,Feuil1!$G$58:$I$75,2,FALSE)</f>
        <v>#N/A</v>
      </c>
      <c r="AK29" s="1" t="e">
        <f>VLOOKUP('Saisie immeuble'!E26,Feuil1!$G$58:$I$75,3,FALSE)</f>
        <v>#N/A</v>
      </c>
      <c r="AL29" s="98" t="e">
        <f>IF(AK29="élec",V29,IF(AK29="gaz",AB29,IF(AK29="fioul",'Référence&amp;tarifs'!$B$25,IF(AK29="bois buche",'Référence&amp;tarifs'!$B$23,IF(AK29="bois granulés",'Référence&amp;tarifs'!$B$24,IF(AK29=I73,0.8*('Référence&amp;tarifs'!$B$23+'Référence&amp;tarifs'!B31)/2+0.2*Feuil1!AB29,0))))))</f>
        <v>#N/A</v>
      </c>
      <c r="AM29" s="52">
        <f>IF('Saisie immeuble'!I26+'Saisie immeuble'!J26&gt;0,Feuil1!$AM$13+2*('Saisie immeuble'!I26+'Saisie immeuble'!J26-1),0)</f>
        <v>0</v>
      </c>
      <c r="AN29" s="1">
        <f>IF('Saisie immeuble'!I26+'Saisie immeuble'!J26&gt;0,Feuil1!$AN$13*('Saisie immeuble'!I26+'Saisie immeuble'!J26),0)</f>
        <v>0</v>
      </c>
      <c r="AO29" s="1">
        <f>IF('Saisie immeuble'!I26+'Saisie immeuble'!J26&gt;0,Feuil1!$AO$13+3*('Saisie immeuble'!I26+'Saisie immeuble'!J26-1),0)</f>
        <v>0</v>
      </c>
      <c r="AP29" s="1">
        <f>IF('Saisie immeuble'!I26+'Saisie immeuble'!J26&gt;0,Feuil1!$AP$13+2*('Saisie immeuble'!I26+'Saisie immeuble'!J26-1),0)</f>
        <v>0</v>
      </c>
      <c r="AQ29" s="1">
        <f>IF('Saisie immeuble'!I26+'Saisie immeuble'!J26&gt;0,Feuil1!$AQ$13*('Saisie immeuble'!I26+'Saisie immeuble'!J26),0)</f>
        <v>0</v>
      </c>
      <c r="AR29" s="1">
        <f t="shared" si="9"/>
        <v>0</v>
      </c>
      <c r="AS29" s="99" t="e">
        <f>AR29*'Saisie immeuble'!$F$8+IF(AND(R29&lt;&gt;"gaz",(S29="gaz")),AA29,0)</f>
        <v>#N/A</v>
      </c>
      <c r="AT29" s="52">
        <f>IF('Saisie immeuble'!I26+'Saisie immeuble'!J26&gt;0,1100+700*('Saisie immeuble'!I26+'Saisie immeuble'!J26-1),0)</f>
        <v>0</v>
      </c>
      <c r="AU29" s="3" t="e">
        <f>IF(AW29="élec",Feuil1!V29,IF(AW29="gaz",Feuil1!AB29,IF(AW29="fioul",'Référence&amp;tarifs'!$B$25,IF(AW29="bois",('Référence&amp;tarifs'!$B$23+'Référence&amp;tarifs'!$B$24)/2,0))))</f>
        <v>#N/A</v>
      </c>
      <c r="AV29" s="1" t="e">
        <f>VLOOKUP('Saisie immeuble'!F26,Feuil1!$Q$57:$U$70,4,FALSE)</f>
        <v>#N/A</v>
      </c>
      <c r="AW29" s="1" t="e">
        <f>VLOOKUP('Saisie immeuble'!F26,Feuil1!$Q$57:$U$70,5,FALSE)</f>
        <v>#N/A</v>
      </c>
      <c r="AX29" s="97" t="e">
        <f t="shared" si="10"/>
        <v>#N/A</v>
      </c>
    </row>
    <row r="30" spans="2:50" x14ac:dyDescent="0.3">
      <c r="B30" s="52" t="s">
        <v>17</v>
      </c>
      <c r="C30" s="1">
        <f>IF('Saisie immeuble'!D27=Feuil1!$B$4,4,IF(AND('Saisie immeuble'!D27=$B$5,('Saisie immeuble'!$C$4=Feuil1!$C$5)),5,IF(AND('Saisie immeuble'!D27=$B$5,('Saisie immeuble'!$C$4=Feuil1!$C$6)),6,IF(AND('Saisie immeuble'!D27=Feuil1!$B$7,('Saisie immeuble'!$C$4=Feuil1!$C$7)),7,IF(AND('Saisie immeuble'!D27=Feuil1!$B$7,('Saisie immeuble'!$C$4=Feuil1!$C$8)),8,0)))))</f>
        <v>0</v>
      </c>
      <c r="D30" s="90" t="e">
        <f>HLOOKUP('Saisie immeuble'!$C$3,Feuil1!$D$1:$BM$8,Feuil1!C30,FALSE)</f>
        <v>#N/A</v>
      </c>
      <c r="E30" s="1" t="e">
        <f>HLOOKUP('Saisie immeuble'!$C$3,Feuil1!$D$1:$BM$8,3,FALSE)</f>
        <v>#N/A</v>
      </c>
      <c r="F30" s="1" t="e">
        <f>IF(E30=1,450+'Saisie immeuble'!C27*6,IF(E30=2,300+'Saisie immeuble'!C27*5,150+'Saisie immeuble'!C27*3))</f>
        <v>#N/A</v>
      </c>
      <c r="G30" s="1" t="e">
        <f>IF(E30=1,1400+'Saisie immeuble'!C27*6,IF(E30=2,1100+'Saisie immeuble'!C27*6,500+'Saisie immeuble'!C27*6))</f>
        <v>#N/A</v>
      </c>
      <c r="H30" s="90">
        <f>IF('Saisie immeuble'!$C$6="oui",IF('Saisie immeuble'!D27="dernier étage",IF(Feuil1!E30=1,0.4*Feuil1!D30,IF(Feuil1!E30=2,0.35*Feuil1!D30,IF(Feuil1!E30=3,0.3*Feuil1!D30,0))),0),0)</f>
        <v>0</v>
      </c>
      <c r="I30" s="90">
        <f>IF('Saisie immeuble'!$C$7="oui",IF(AND(Feuil1!E30=1,('Saisie immeuble'!$C$4=Feuil1!$C$5)),0.3*Feuil1!D30,IF(AND(Feuil1!E30=1,('Saisie immeuble'!$C$4=Feuil1!$C$6)),0.2*Feuil1!D30,IF(AND(Feuil1!E30=2,('Saisie immeuble'!$C$4=Feuil1!$C$5)),0.25*Feuil1!D30,IF(AND(Feuil1!E30=2,('Saisie immeuble'!$C$4=Feuil1!$C$6)),0.15*Feuil1!D30,IF(AND(Feuil1!E30=3,('Saisie immeuble'!$C$4=Feuil1!$C$5)),0.2*Feuil1!D30,IF(AND(Feuil1!E30=3,('Saisie immeuble'!$C$4=Feuil1!$C$6)),0.12*Feuil1!D30)))))),0)</f>
        <v>0</v>
      </c>
      <c r="J30" s="90">
        <f>IF('Saisie immeuble'!$C$8="oui",IF(AND(Feuil1!E30=1,('Saisie immeuble'!$C$4=Feuil1!$C$5)),0.22*Feuil1!D30,IF(AND(Feuil1!E30=1,('Saisie immeuble'!$C$4=Feuil1!$C$6)),0.14*Feuil1!D30,IF(AND(Feuil1!E30=2,('Saisie immeuble'!$C$4=Feuil1!$C$5)),0.2*Feuil1!D30,IF(AND(Feuil1!E30=2,('Saisie immeuble'!$C$4=Feuil1!$C$6)),0.12*Feuil1!D30,IF(AND(Feuil1!E30=3,('Saisie immeuble'!$C$4=Feuil1!$C$5)),0.16*Feuil1!D30,IF(AND(Feuil1!E30=3,('Saisie immeuble'!$C$4=Feuil1!$C$6)),0.1*Feuil1!D30)))))),0)</f>
        <v>0</v>
      </c>
      <c r="K30" s="90">
        <f>IF('Saisie immeuble'!$F$7="oui",IF('Saisie immeuble'!D27="rez de chaussée",IF(Feuil1!E30=1,0.2*Feuil1!D30,IF(Feuil1!E30=2,0.16*Feuil1!D30,IF(Feuil1!E30=3,0.12*Feuil1!D30,0))),0),0)</f>
        <v>0</v>
      </c>
      <c r="L30" s="1">
        <f>IF('Saisie immeuble'!C27&gt;0,IF('Saisie immeuble'!C27&gt;57,('Saisie immeuble'!C27-57)*55,('Saisie immeuble'!C27-57)*35),0)</f>
        <v>0</v>
      </c>
      <c r="M30" s="1">
        <f>IF('Saisie immeuble'!C27&gt;0,IF('Saisie immeuble'!$H$7=Feuil1!$B$78,IF(Feuil1!E30=1,700,IF(Feuil1!E30=2,550,400)),IF('Saisie immeuble'!$H$7=Feuil1!$B$79,IF(Feuil1!E30=1,350,IF(Feuil1!E30=2,275,200)),0))*(1-((57-'Saisie immeuble'!C27)/100)),0)</f>
        <v>0</v>
      </c>
      <c r="N30" s="90" t="e">
        <f>D30-IF('Saisie immeuble'!G27=Feuil1!$B$68,Feuil1!F30,IF('Saisie immeuble'!G27=Feuil1!$B$69,G30,0))-H30-I30-J30+L30-K30+M30</f>
        <v>#N/A</v>
      </c>
      <c r="O30" s="90" t="e">
        <f t="shared" si="6"/>
        <v>#N/A</v>
      </c>
      <c r="P30" s="90" t="e">
        <f>IF('Saisie immeuble'!$C$5="individuel",N30/AJ30,O30/AJ30)</f>
        <v>#N/A</v>
      </c>
      <c r="Q30" s="99" t="e">
        <f t="shared" si="7"/>
        <v>#N/A</v>
      </c>
      <c r="R30" s="52" t="e">
        <f>VLOOKUP('Saisie immeuble'!E27,Feuil1!$G$58:$I$75,3,0)</f>
        <v>#N/A</v>
      </c>
      <c r="S30" s="1" t="e">
        <f>VLOOKUP('Saisie immeuble'!F27,Feuil1!$Q$57:$U$70,5,FALSE)</f>
        <v>#N/A</v>
      </c>
      <c r="T30" s="1" t="e">
        <f>IF(AND(R30&lt;&gt;"élec",(S30&lt;&gt;"élec"),('Saisie immeuble'!C27&lt;40)),'Référence&amp;tarifs'!$A$6,IF(AND(R30="élec",(S30="élec")),'Référence&amp;tarifs'!$A$8,'Référence&amp;tarifs'!$A$7))</f>
        <v>#N/A</v>
      </c>
      <c r="U30" s="1" t="e">
        <f>VLOOKUP(T30,'Référence&amp;tarifs'!$A$6:$C$10,2,FALSE)</f>
        <v>#N/A</v>
      </c>
      <c r="V30" s="1" t="e">
        <f>VLOOKUP(T30,'Référence&amp;tarifs'!$A$6:$C$10,3,FALSE)</f>
        <v>#N/A</v>
      </c>
      <c r="W30" s="1"/>
      <c r="X30" s="51" t="e">
        <f>IF('Résultat immeuble'!S21&lt;1.1,HLOOKUP(Feuil1!T30,'Référence&amp;tarifs'!#REF!,2,FALSE),IF('Résultat immeuble'!S21&gt;1.9,HLOOKUP(Feuil1!T30,'Référence&amp;tarifs'!#REF!,4,FALSE),HLOOKUP(Feuil1!T30,'Référence&amp;tarifs'!#REF!,3,FALSE)))</f>
        <v>#N/A</v>
      </c>
      <c r="Y30" s="52" t="e">
        <f>IF(R30="gaz",N30,0)+IF(S30="gaz",AT30,0)+IF('Saisie immeuble'!H27="gaz de ville",Feuil1!AH30,0)</f>
        <v>#N/A</v>
      </c>
      <c r="Z30" s="1" t="e">
        <f>IF(Y30&lt;1000,'Référence&amp;tarifs'!$A$16,IF(Y30&gt;5999,'Référence&amp;tarifs'!$A$18,'Référence&amp;tarifs'!$A$17))</f>
        <v>#N/A</v>
      </c>
      <c r="AA30" s="1" t="e">
        <f>VLOOKUP(Z30,'Référence&amp;tarifs'!$A$16:$C$18,2,FALSE)</f>
        <v>#N/A</v>
      </c>
      <c r="AB30" s="1" t="e">
        <f>VLOOKUP(Z30,'Référence&amp;tarifs'!$A$16:$C$18,3,FALSE)</f>
        <v>#N/A</v>
      </c>
      <c r="AC30" s="58" t="b">
        <f>IF('Saisie immeuble'!$C$5="individuel",IF('Résultat immeuble'!S21=1,HLOOKUP(Feuil1!Z30,'Référence&amp;tarifs'!#REF!,2,FALSE),IF('Résultat immeuble'!S21&gt;1.9,HLOOKUP(Feuil1!Z30,'Référence&amp;tarifs'!#REF!,4,FALSE),HLOOKUP(Feuil1!Z30,'Référence&amp;tarifs'!#REF!,3,FALSE))),IF('Saisie immeuble'!$C$5="collectif",IF('Résultat immeuble'!S21=1,'Référence&amp;tarifs'!#REF!,IF('Résultat immeuble'!S21&gt;1.9,'Référence&amp;tarifs'!#REF!,IF(AND('Résultat immeuble'!S21&lt;2,('Résultat immeuble'!S21&gt;1)),'Référence&amp;tarifs'!#REF!,0)))))</f>
        <v>0</v>
      </c>
      <c r="AD30" s="109">
        <f>IF('Saisie immeuble'!I27+'Saisie immeuble'!J27&gt;0,18*'Saisie immeuble'!C27+3.5*('Saisie immeuble'!I27+'Saisie immeuble'!J27-1)*'Saisie immeuble'!C27,0)</f>
        <v>0</v>
      </c>
      <c r="AE30" s="110"/>
      <c r="AF30" s="111"/>
      <c r="AG30" s="97" t="e">
        <f t="shared" si="8"/>
        <v>#N/A</v>
      </c>
      <c r="AH30" s="52">
        <f>IF('Saisie immeuble'!I27+'Saisie immeuble'!J27&gt;0,350+80*('Saisie immeuble'!I27+'Saisie immeuble'!J27-1),0)</f>
        <v>0</v>
      </c>
      <c r="AI30" s="97" t="e">
        <f>IF('Saisie immeuble'!H27="gaz de ville",Feuil1!AB30,IF('Saisie immeuble'!H27=$B$72,V30,0))*Feuil1!AH30+IF(AND(R30&lt;&gt;"gaz",(S30&lt;&gt;"gaz"),('Saisie immeuble'!H27="gaz de ville")),Feuil1!AA30,0)</f>
        <v>#N/A</v>
      </c>
      <c r="AJ30" s="52" t="e">
        <f>VLOOKUP('Saisie immeuble'!E27,Feuil1!$G$58:$I$75,2,FALSE)</f>
        <v>#N/A</v>
      </c>
      <c r="AK30" s="1" t="e">
        <f>VLOOKUP('Saisie immeuble'!E27,Feuil1!$G$58:$I$75,3,FALSE)</f>
        <v>#N/A</v>
      </c>
      <c r="AL30" s="98" t="e">
        <f>IF(AK30="élec",V30,IF(AK30="gaz",AB30,IF(AK30="fioul",'Référence&amp;tarifs'!$B$25,IF(AK30="bois buche",'Référence&amp;tarifs'!$B$23,IF(AK30="bois granulés",'Référence&amp;tarifs'!$B$24,IF(AK30=I74,0.8*('Référence&amp;tarifs'!$B$23+'Référence&amp;tarifs'!B32)/2+0.2*Feuil1!AB30,0))))))</f>
        <v>#N/A</v>
      </c>
      <c r="AM30" s="52">
        <f>IF('Saisie immeuble'!I27+'Saisie immeuble'!J27&gt;0,Feuil1!$AM$13+2*('Saisie immeuble'!I27+'Saisie immeuble'!J27-1),0)</f>
        <v>0</v>
      </c>
      <c r="AN30" s="1">
        <f>IF('Saisie immeuble'!I27+'Saisie immeuble'!J27&gt;0,Feuil1!$AN$13*('Saisie immeuble'!I27+'Saisie immeuble'!J27),0)</f>
        <v>0</v>
      </c>
      <c r="AO30" s="1">
        <f>IF('Saisie immeuble'!I27+'Saisie immeuble'!J27&gt;0,Feuil1!$AO$13+3*('Saisie immeuble'!I27+'Saisie immeuble'!J27-1),0)</f>
        <v>0</v>
      </c>
      <c r="AP30" s="1">
        <f>IF('Saisie immeuble'!I27+'Saisie immeuble'!J27&gt;0,Feuil1!$AP$13+2*('Saisie immeuble'!I27+'Saisie immeuble'!J27-1),0)</f>
        <v>0</v>
      </c>
      <c r="AQ30" s="1">
        <f>IF('Saisie immeuble'!I27+'Saisie immeuble'!J27&gt;0,Feuil1!$AQ$13*('Saisie immeuble'!I27+'Saisie immeuble'!J27),0)</f>
        <v>0</v>
      </c>
      <c r="AR30" s="1">
        <f t="shared" si="9"/>
        <v>0</v>
      </c>
      <c r="AS30" s="99" t="e">
        <f>AR30*'Saisie immeuble'!$F$8+IF(AND(R30&lt;&gt;"gaz",(S30="gaz")),AA30,0)</f>
        <v>#N/A</v>
      </c>
      <c r="AT30" s="52">
        <f>IF('Saisie immeuble'!I27+'Saisie immeuble'!J27&gt;0,1100+700*('Saisie immeuble'!I27+'Saisie immeuble'!J27-1),0)</f>
        <v>0</v>
      </c>
      <c r="AU30" s="3" t="e">
        <f>IF(AW30="élec",Feuil1!V30,IF(AW30="gaz",Feuil1!AB30,IF(AW30="fioul",'Référence&amp;tarifs'!$B$25,IF(AW30="bois",('Référence&amp;tarifs'!$B$23+'Référence&amp;tarifs'!$B$24)/2,0))))</f>
        <v>#N/A</v>
      </c>
      <c r="AV30" s="1" t="e">
        <f>VLOOKUP('Saisie immeuble'!F27,Feuil1!$Q$57:$U$70,4,FALSE)</f>
        <v>#N/A</v>
      </c>
      <c r="AW30" s="1" t="e">
        <f>VLOOKUP('Saisie immeuble'!F27,Feuil1!$Q$57:$U$70,5,FALSE)</f>
        <v>#N/A</v>
      </c>
      <c r="AX30" s="97" t="e">
        <f t="shared" si="10"/>
        <v>#N/A</v>
      </c>
    </row>
    <row r="31" spans="2:50" x14ac:dyDescent="0.3">
      <c r="B31" s="52" t="s">
        <v>18</v>
      </c>
      <c r="C31" s="1">
        <f>IF('Saisie immeuble'!D28=Feuil1!$B$4,4,IF(AND('Saisie immeuble'!D28=$B$5,('Saisie immeuble'!$C$4=Feuil1!$C$5)),5,IF(AND('Saisie immeuble'!D28=$B$5,('Saisie immeuble'!$C$4=Feuil1!$C$6)),6,IF(AND('Saisie immeuble'!D28=Feuil1!$B$7,('Saisie immeuble'!$C$4=Feuil1!$C$7)),7,IF(AND('Saisie immeuble'!D28=Feuil1!$B$7,('Saisie immeuble'!$C$4=Feuil1!$C$8)),8,0)))))</f>
        <v>0</v>
      </c>
      <c r="D31" s="90" t="e">
        <f>HLOOKUP('Saisie immeuble'!$C$3,Feuil1!$D$1:$BM$8,Feuil1!C31,FALSE)</f>
        <v>#N/A</v>
      </c>
      <c r="E31" s="1" t="e">
        <f>HLOOKUP('Saisie immeuble'!$C$3,Feuil1!$D$1:$BM$8,3,FALSE)</f>
        <v>#N/A</v>
      </c>
      <c r="F31" s="1" t="e">
        <f>IF(E31=1,450+'Saisie immeuble'!C28*6,IF(E31=2,300+'Saisie immeuble'!C28*5,150+'Saisie immeuble'!C28*3))</f>
        <v>#N/A</v>
      </c>
      <c r="G31" s="1" t="e">
        <f>IF(E31=1,1400+'Saisie immeuble'!C28*6,IF(E31=2,1100+'Saisie immeuble'!C28*6,500+'Saisie immeuble'!C28*6))</f>
        <v>#N/A</v>
      </c>
      <c r="H31" s="90">
        <f>IF('Saisie immeuble'!$C$6="oui",IF('Saisie immeuble'!D28="dernier étage",IF(Feuil1!E31=1,0.4*Feuil1!D31,IF(Feuil1!E31=2,0.35*Feuil1!D31,IF(Feuil1!E31=3,0.3*Feuil1!D31,0))),0),0)</f>
        <v>0</v>
      </c>
      <c r="I31" s="90">
        <f>IF('Saisie immeuble'!$C$7="oui",IF(AND(Feuil1!E31=1,('Saisie immeuble'!$C$4=Feuil1!$C$5)),0.3*Feuil1!D31,IF(AND(Feuil1!E31=1,('Saisie immeuble'!$C$4=Feuil1!$C$6)),0.2*Feuil1!D31,IF(AND(Feuil1!E31=2,('Saisie immeuble'!$C$4=Feuil1!$C$5)),0.25*Feuil1!D31,IF(AND(Feuil1!E31=2,('Saisie immeuble'!$C$4=Feuil1!$C$6)),0.15*Feuil1!D31,IF(AND(Feuil1!E31=3,('Saisie immeuble'!$C$4=Feuil1!$C$5)),0.2*Feuil1!D31,IF(AND(Feuil1!E31=3,('Saisie immeuble'!$C$4=Feuil1!$C$6)),0.12*Feuil1!D31)))))),0)</f>
        <v>0</v>
      </c>
      <c r="J31" s="90">
        <f>IF('Saisie immeuble'!$C$8="oui",IF(AND(Feuil1!E31=1,('Saisie immeuble'!$C$4=Feuil1!$C$5)),0.22*Feuil1!D31,IF(AND(Feuil1!E31=1,('Saisie immeuble'!$C$4=Feuil1!$C$6)),0.14*Feuil1!D31,IF(AND(Feuil1!E31=2,('Saisie immeuble'!$C$4=Feuil1!$C$5)),0.2*Feuil1!D31,IF(AND(Feuil1!E31=2,('Saisie immeuble'!$C$4=Feuil1!$C$6)),0.12*Feuil1!D31,IF(AND(Feuil1!E31=3,('Saisie immeuble'!$C$4=Feuil1!$C$5)),0.16*Feuil1!D31,IF(AND(Feuil1!E31=3,('Saisie immeuble'!$C$4=Feuil1!$C$6)),0.1*Feuil1!D31)))))),0)</f>
        <v>0</v>
      </c>
      <c r="K31" s="90">
        <f>IF('Saisie immeuble'!$F$7="oui",IF('Saisie immeuble'!D28="rez de chaussée",IF(Feuil1!E31=1,0.2*Feuil1!D31,IF(Feuil1!E31=2,0.16*Feuil1!D31,IF(Feuil1!E31=3,0.12*Feuil1!D31,0))),0),0)</f>
        <v>0</v>
      </c>
      <c r="L31" s="1">
        <f>IF('Saisie immeuble'!C28&gt;0,IF('Saisie immeuble'!C28&gt;57,('Saisie immeuble'!C28-57)*55,('Saisie immeuble'!C28-57)*35),0)</f>
        <v>0</v>
      </c>
      <c r="M31" s="1">
        <f>IF('Saisie immeuble'!C28&gt;0,IF('Saisie immeuble'!$H$7=Feuil1!$B$78,IF(Feuil1!E31=1,700,IF(Feuil1!E31=2,550,400)),IF('Saisie immeuble'!$H$7=Feuil1!$B$79,IF(Feuil1!E31=1,350,IF(Feuil1!E31=2,275,200)),0))*(1-((57-'Saisie immeuble'!C28)/100)),0)</f>
        <v>0</v>
      </c>
      <c r="N31" s="90" t="e">
        <f>D31-IF('Saisie immeuble'!G28=Feuil1!$B$68,Feuil1!F31,IF('Saisie immeuble'!G28=Feuil1!$B$69,G31,0))-H31-I31-J31+L31-K31+M31</f>
        <v>#N/A</v>
      </c>
      <c r="O31" s="90" t="e">
        <f t="shared" si="6"/>
        <v>#N/A</v>
      </c>
      <c r="P31" s="90" t="e">
        <f>IF('Saisie immeuble'!$C$5="individuel",N31/AJ31,O31/AJ31)</f>
        <v>#N/A</v>
      </c>
      <c r="Q31" s="99" t="e">
        <f t="shared" si="7"/>
        <v>#N/A</v>
      </c>
      <c r="R31" s="52" t="e">
        <f>VLOOKUP('Saisie immeuble'!E28,Feuil1!$G$58:$I$75,3,0)</f>
        <v>#N/A</v>
      </c>
      <c r="S31" s="1" t="e">
        <f>VLOOKUP('Saisie immeuble'!F28,Feuil1!$Q$57:$U$70,5,FALSE)</f>
        <v>#N/A</v>
      </c>
      <c r="T31" s="1" t="e">
        <f>IF(AND(R31&lt;&gt;"élec",(S31&lt;&gt;"élec"),('Saisie immeuble'!C28&lt;40)),'Référence&amp;tarifs'!$A$6,IF(AND(R31="élec",(S31="élec")),'Référence&amp;tarifs'!$A$8,'Référence&amp;tarifs'!$A$7))</f>
        <v>#N/A</v>
      </c>
      <c r="U31" s="1" t="e">
        <f>VLOOKUP(T31,'Référence&amp;tarifs'!$A$6:$C$10,2,FALSE)</f>
        <v>#N/A</v>
      </c>
      <c r="V31" s="1" t="e">
        <f>VLOOKUP(T31,'Référence&amp;tarifs'!$A$6:$C$10,3,FALSE)</f>
        <v>#N/A</v>
      </c>
      <c r="W31" s="1"/>
      <c r="X31" s="51" t="e">
        <f>IF('Résultat immeuble'!#REF!&lt;1.1,HLOOKUP(Feuil1!T31,'Référence&amp;tarifs'!#REF!,2,FALSE),IF('Résultat immeuble'!#REF!&gt;1.9,HLOOKUP(Feuil1!T31,'Référence&amp;tarifs'!#REF!,4,FALSE),HLOOKUP(Feuil1!T31,'Référence&amp;tarifs'!#REF!,3,FALSE)))</f>
        <v>#REF!</v>
      </c>
      <c r="Y31" s="52" t="e">
        <f>IF(R31="gaz",N31,0)+IF(S31="gaz",AT31,0)+IF('Saisie immeuble'!H28="gaz de ville",Feuil1!AH31,0)</f>
        <v>#N/A</v>
      </c>
      <c r="Z31" s="1" t="e">
        <f>IF(Y31&lt;1000,'Référence&amp;tarifs'!$A$16,IF(Y31&gt;5999,'Référence&amp;tarifs'!$A$18,'Référence&amp;tarifs'!$A$17))</f>
        <v>#N/A</v>
      </c>
      <c r="AA31" s="1" t="e">
        <f>VLOOKUP(Z31,'Référence&amp;tarifs'!$A$16:$C$18,2,FALSE)</f>
        <v>#N/A</v>
      </c>
      <c r="AB31" s="1" t="e">
        <f>VLOOKUP(Z31,'Référence&amp;tarifs'!$A$16:$C$18,3,FALSE)</f>
        <v>#N/A</v>
      </c>
      <c r="AC31" s="58" t="b">
        <f>IF('Saisie immeuble'!$C$5="individuel",IF('Résultat immeuble'!#REF!=1,HLOOKUP(Feuil1!Z31,'Référence&amp;tarifs'!#REF!,2,FALSE),IF('Résultat immeuble'!#REF!&gt;1.9,HLOOKUP(Feuil1!Z31,'Référence&amp;tarifs'!#REF!,4,FALSE),HLOOKUP(Feuil1!Z31,'Référence&amp;tarifs'!#REF!,3,FALSE))),IF('Saisie immeuble'!$C$5="collectif",IF('Résultat immeuble'!#REF!=1,'Référence&amp;tarifs'!#REF!,IF('Résultat immeuble'!#REF!&gt;1.9,'Référence&amp;tarifs'!#REF!,IF(AND('Résultat immeuble'!#REF!&lt;2,('Résultat immeuble'!#REF!&gt;1)),'Référence&amp;tarifs'!#REF!,0)))))</f>
        <v>0</v>
      </c>
      <c r="AD31" s="109">
        <f>IF('Saisie immeuble'!I28+'Saisie immeuble'!J28&gt;0,18*'Saisie immeuble'!C28+3.5*('Saisie immeuble'!I28+'Saisie immeuble'!J28-1)*'Saisie immeuble'!C28,0)</f>
        <v>0</v>
      </c>
      <c r="AE31" s="110"/>
      <c r="AF31" s="111"/>
      <c r="AG31" s="97" t="e">
        <f t="shared" si="8"/>
        <v>#N/A</v>
      </c>
      <c r="AH31" s="52">
        <f>IF('Saisie immeuble'!I28+'Saisie immeuble'!J28&gt;0,350+80*('Saisie immeuble'!I28+'Saisie immeuble'!J28-1),0)</f>
        <v>0</v>
      </c>
      <c r="AI31" s="97" t="e">
        <f>IF('Saisie immeuble'!H28="gaz de ville",Feuil1!AB31,IF('Saisie immeuble'!H28=$B$72,V31,0))*Feuil1!AH31+IF(AND(R31&lt;&gt;"gaz",(S31&lt;&gt;"gaz"),('Saisie immeuble'!H28="gaz de ville")),Feuil1!AA31,0)</f>
        <v>#N/A</v>
      </c>
      <c r="AJ31" s="52" t="e">
        <f>VLOOKUP('Saisie immeuble'!E28,Feuil1!$G$58:$I$75,2,FALSE)</f>
        <v>#N/A</v>
      </c>
      <c r="AK31" s="1" t="e">
        <f>VLOOKUP('Saisie immeuble'!E28,Feuil1!$G$58:$I$75,3,FALSE)</f>
        <v>#N/A</v>
      </c>
      <c r="AL31" s="98" t="e">
        <f>IF(AK31="élec",V31,IF(AK31="gaz",AB31,IF(AK31="fioul",'Référence&amp;tarifs'!$B$25,IF(AK31="bois buche",'Référence&amp;tarifs'!$B$23,IF(AK31="bois granulés",'Référence&amp;tarifs'!$B$24,IF(AK31=I75,0.8*('Référence&amp;tarifs'!$B$23+'Référence&amp;tarifs'!B33)/2+0.2*Feuil1!AB31,0))))))</f>
        <v>#N/A</v>
      </c>
      <c r="AM31" s="52">
        <f>IF('Saisie immeuble'!I28+'Saisie immeuble'!J28&gt;0,Feuil1!$AM$13+2*('Saisie immeuble'!I28+'Saisie immeuble'!J28-1),0)</f>
        <v>0</v>
      </c>
      <c r="AN31" s="1">
        <f>IF('Saisie immeuble'!I28+'Saisie immeuble'!J28&gt;0,Feuil1!$AN$13*('Saisie immeuble'!I28+'Saisie immeuble'!J28),0)</f>
        <v>0</v>
      </c>
      <c r="AO31" s="1">
        <f>IF('Saisie immeuble'!I28+'Saisie immeuble'!J28&gt;0,Feuil1!$AO$13+3*('Saisie immeuble'!I28+'Saisie immeuble'!J28-1),0)</f>
        <v>0</v>
      </c>
      <c r="AP31" s="1">
        <f>IF('Saisie immeuble'!I28+'Saisie immeuble'!J28&gt;0,Feuil1!$AP$13+2*('Saisie immeuble'!I28+'Saisie immeuble'!J28-1),0)</f>
        <v>0</v>
      </c>
      <c r="AQ31" s="1">
        <f>IF('Saisie immeuble'!I28+'Saisie immeuble'!J28&gt;0,Feuil1!$AQ$13*('Saisie immeuble'!I28+'Saisie immeuble'!J28),0)</f>
        <v>0</v>
      </c>
      <c r="AR31" s="1">
        <f t="shared" si="9"/>
        <v>0</v>
      </c>
      <c r="AS31" s="99" t="e">
        <f>AR31*'Saisie immeuble'!$F$8+IF(AND(R31&lt;&gt;"gaz",(S31="gaz")),AA31,0)</f>
        <v>#N/A</v>
      </c>
      <c r="AT31" s="52">
        <f>IF('Saisie immeuble'!I28+'Saisie immeuble'!J28&gt;0,1100+700*('Saisie immeuble'!I28+'Saisie immeuble'!J28-1),0)</f>
        <v>0</v>
      </c>
      <c r="AU31" s="3" t="e">
        <f>IF(AW31="élec",Feuil1!V31,IF(AW31="gaz",Feuil1!AB31,IF(AW31="fioul",'Référence&amp;tarifs'!$B$25,IF(AW31="bois",('Référence&amp;tarifs'!$B$23+'Référence&amp;tarifs'!$B$24)/2,0))))</f>
        <v>#N/A</v>
      </c>
      <c r="AV31" s="1" t="e">
        <f>VLOOKUP('Saisie immeuble'!F28,Feuil1!$Q$57:$U$70,4,FALSE)</f>
        <v>#N/A</v>
      </c>
      <c r="AW31" s="1" t="e">
        <f>VLOOKUP('Saisie immeuble'!F28,Feuil1!$Q$57:$U$70,5,FALSE)</f>
        <v>#N/A</v>
      </c>
      <c r="AX31" s="97" t="e">
        <f t="shared" si="10"/>
        <v>#N/A</v>
      </c>
    </row>
    <row r="32" spans="2:50" x14ac:dyDescent="0.3">
      <c r="B32" s="52" t="s">
        <v>19</v>
      </c>
      <c r="C32" s="1">
        <f>IF('Saisie immeuble'!D29=Feuil1!$B$4,4,IF(AND('Saisie immeuble'!D29=$B$5,('Saisie immeuble'!$C$4=Feuil1!$C$5)),5,IF(AND('Saisie immeuble'!D29=$B$5,('Saisie immeuble'!$C$4=Feuil1!$C$6)),6,IF(AND('Saisie immeuble'!D29=Feuil1!$B$7,('Saisie immeuble'!$C$4=Feuil1!$C$7)),7,IF(AND('Saisie immeuble'!D29=Feuil1!$B$7,('Saisie immeuble'!$C$4=Feuil1!$C$8)),8,0)))))</f>
        <v>0</v>
      </c>
      <c r="D32" s="90" t="e">
        <f>HLOOKUP('Saisie immeuble'!$C$3,Feuil1!$D$1:$BM$8,Feuil1!C32,FALSE)</f>
        <v>#N/A</v>
      </c>
      <c r="E32" s="1" t="e">
        <f>HLOOKUP('Saisie immeuble'!$C$3,Feuil1!$D$1:$BM$8,3,FALSE)</f>
        <v>#N/A</v>
      </c>
      <c r="F32" s="1" t="e">
        <f>IF(E32=1,450+'Saisie immeuble'!C29*6,IF(E32=2,300+'Saisie immeuble'!C29*5,150+'Saisie immeuble'!C29*3))</f>
        <v>#N/A</v>
      </c>
      <c r="G32" s="1" t="e">
        <f>IF(E32=1,1400+'Saisie immeuble'!C29*6,IF(E32=2,1100+'Saisie immeuble'!C29*6,500+'Saisie immeuble'!C29*6))</f>
        <v>#N/A</v>
      </c>
      <c r="H32" s="90">
        <f>IF('Saisie immeuble'!$C$6="oui",IF('Saisie immeuble'!D29="dernier étage",IF(Feuil1!E32=1,0.4*Feuil1!D32,IF(Feuil1!E32=2,0.35*Feuil1!D32,IF(Feuil1!E32=3,0.3*Feuil1!D32,0))),0),0)</f>
        <v>0</v>
      </c>
      <c r="I32" s="90">
        <f>IF('Saisie immeuble'!$C$7="oui",IF(AND(Feuil1!E32=1,('Saisie immeuble'!$C$4=Feuil1!$C$5)),0.3*Feuil1!D32,IF(AND(Feuil1!E32=1,('Saisie immeuble'!$C$4=Feuil1!$C$6)),0.2*Feuil1!D32,IF(AND(Feuil1!E32=2,('Saisie immeuble'!$C$4=Feuil1!$C$5)),0.25*Feuil1!D32,IF(AND(Feuil1!E32=2,('Saisie immeuble'!$C$4=Feuil1!$C$6)),0.15*Feuil1!D32,IF(AND(Feuil1!E32=3,('Saisie immeuble'!$C$4=Feuil1!$C$5)),0.2*Feuil1!D32,IF(AND(Feuil1!E32=3,('Saisie immeuble'!$C$4=Feuil1!$C$6)),0.12*Feuil1!D32)))))),0)</f>
        <v>0</v>
      </c>
      <c r="J32" s="90">
        <f>IF('Saisie immeuble'!$C$8="oui",IF(AND(Feuil1!E32=1,('Saisie immeuble'!$C$4=Feuil1!$C$5)),0.22*Feuil1!D32,IF(AND(Feuil1!E32=1,('Saisie immeuble'!$C$4=Feuil1!$C$6)),0.14*Feuil1!D32,IF(AND(Feuil1!E32=2,('Saisie immeuble'!$C$4=Feuil1!$C$5)),0.2*Feuil1!D32,IF(AND(Feuil1!E32=2,('Saisie immeuble'!$C$4=Feuil1!$C$6)),0.12*Feuil1!D32,IF(AND(Feuil1!E32=3,('Saisie immeuble'!$C$4=Feuil1!$C$5)),0.16*Feuil1!D32,IF(AND(Feuil1!E32=3,('Saisie immeuble'!$C$4=Feuil1!$C$6)),0.1*Feuil1!D32)))))),0)</f>
        <v>0</v>
      </c>
      <c r="K32" s="90">
        <f>IF('Saisie immeuble'!$F$7="oui",IF('Saisie immeuble'!D29="rez de chaussée",IF(Feuil1!E32=1,0.2*Feuil1!D32,IF(Feuil1!E32=2,0.16*Feuil1!D32,IF(Feuil1!E32=3,0.12*Feuil1!D32,0))),0),0)</f>
        <v>0</v>
      </c>
      <c r="L32" s="1">
        <f>IF('Saisie immeuble'!C29&gt;0,IF('Saisie immeuble'!C29&gt;57,('Saisie immeuble'!C29-57)*55,('Saisie immeuble'!C29-57)*35),0)</f>
        <v>0</v>
      </c>
      <c r="M32" s="1">
        <f>IF('Saisie immeuble'!C29&gt;0,IF('Saisie immeuble'!$H$7=Feuil1!$B$78,IF(Feuil1!E32=1,700,IF(Feuil1!E32=2,550,400)),IF('Saisie immeuble'!$H$7=Feuil1!$B$79,IF(Feuil1!E32=1,350,IF(Feuil1!E32=2,275,200)),0))*(1-((57-'Saisie immeuble'!C29)/100)),0)</f>
        <v>0</v>
      </c>
      <c r="N32" s="90" t="e">
        <f>D32-IF('Saisie immeuble'!G29=Feuil1!$B$68,Feuil1!F32,IF('Saisie immeuble'!G29=Feuil1!$B$69,G32,0))-H32-I32-J32+L32-K32+M32</f>
        <v>#N/A</v>
      </c>
      <c r="O32" s="90" t="e">
        <f t="shared" si="6"/>
        <v>#N/A</v>
      </c>
      <c r="P32" s="90" t="e">
        <f>IF('Saisie immeuble'!$C$5="individuel",N32/AJ32,O32/AJ32)</f>
        <v>#N/A</v>
      </c>
      <c r="Q32" s="99" t="e">
        <f t="shared" si="7"/>
        <v>#N/A</v>
      </c>
      <c r="R32" s="52" t="e">
        <f>VLOOKUP('Saisie immeuble'!E29,Feuil1!$G$58:$I$75,3,0)</f>
        <v>#N/A</v>
      </c>
      <c r="S32" s="1" t="e">
        <f>VLOOKUP('Saisie immeuble'!F29,Feuil1!$Q$57:$U$70,5,FALSE)</f>
        <v>#N/A</v>
      </c>
      <c r="T32" s="1" t="e">
        <f>IF(AND(R32&lt;&gt;"élec",(S32&lt;&gt;"élec"),('Saisie immeuble'!C29&lt;40)),'Référence&amp;tarifs'!$A$6,IF(AND(R32="élec",(S32="élec")),'Référence&amp;tarifs'!$A$8,'Référence&amp;tarifs'!$A$7))</f>
        <v>#N/A</v>
      </c>
      <c r="U32" s="1" t="e">
        <f>VLOOKUP(T32,'Référence&amp;tarifs'!$A$6:$C$10,2,FALSE)</f>
        <v>#N/A</v>
      </c>
      <c r="V32" s="1" t="e">
        <f>VLOOKUP(T32,'Référence&amp;tarifs'!$A$6:$C$10,3,FALSE)</f>
        <v>#N/A</v>
      </c>
      <c r="W32" s="1"/>
      <c r="X32" s="51" t="e">
        <f>IF('Résultat immeuble'!S22&lt;1.1,HLOOKUP(Feuil1!T32,'Référence&amp;tarifs'!#REF!,2,FALSE),IF('Résultat immeuble'!S22&gt;1.9,HLOOKUP(Feuil1!T32,'Référence&amp;tarifs'!#REF!,4,FALSE),HLOOKUP(Feuil1!T32,'Référence&amp;tarifs'!#REF!,3,FALSE)))</f>
        <v>#N/A</v>
      </c>
      <c r="Y32" s="52" t="e">
        <f>IF(R32="gaz",N32,0)+IF(S32="gaz",AT32,0)+IF('Saisie immeuble'!H29="gaz de ville",Feuil1!AH32,0)</f>
        <v>#N/A</v>
      </c>
      <c r="Z32" s="1" t="e">
        <f>IF(Y32&lt;1000,'Référence&amp;tarifs'!$A$16,IF(Y32&gt;5999,'Référence&amp;tarifs'!$A$18,'Référence&amp;tarifs'!$A$17))</f>
        <v>#N/A</v>
      </c>
      <c r="AA32" s="1" t="e">
        <f>VLOOKUP(Z32,'Référence&amp;tarifs'!$A$16:$C$18,2,FALSE)</f>
        <v>#N/A</v>
      </c>
      <c r="AB32" s="1" t="e">
        <f>VLOOKUP(Z32,'Référence&amp;tarifs'!$A$16:$C$18,3,FALSE)</f>
        <v>#N/A</v>
      </c>
      <c r="AC32" s="58" t="b">
        <f>IF('Saisie immeuble'!$C$5="individuel",IF('Résultat immeuble'!S22=1,HLOOKUP(Feuil1!Z32,'Référence&amp;tarifs'!#REF!,2,FALSE),IF('Résultat immeuble'!S22&gt;1.9,HLOOKUP(Feuil1!Z32,'Référence&amp;tarifs'!#REF!,4,FALSE),HLOOKUP(Feuil1!Z32,'Référence&amp;tarifs'!#REF!,3,FALSE))),IF('Saisie immeuble'!$C$5="collectif",IF('Résultat immeuble'!S22=1,'Référence&amp;tarifs'!#REF!,IF('Résultat immeuble'!S22&gt;1.9,'Référence&amp;tarifs'!#REF!,IF(AND('Résultat immeuble'!S22&lt;2,('Résultat immeuble'!S22&gt;1)),'Référence&amp;tarifs'!#REF!,0)))))</f>
        <v>0</v>
      </c>
      <c r="AD32" s="109">
        <f>IF('Saisie immeuble'!I29+'Saisie immeuble'!J29&gt;0,18*'Saisie immeuble'!C29+3.5*('Saisie immeuble'!I29+'Saisie immeuble'!J29-1)*'Saisie immeuble'!C29,0)</f>
        <v>0</v>
      </c>
      <c r="AE32" s="110"/>
      <c r="AF32" s="111"/>
      <c r="AG32" s="97" t="e">
        <f t="shared" si="8"/>
        <v>#N/A</v>
      </c>
      <c r="AH32" s="52">
        <f>IF('Saisie immeuble'!I29+'Saisie immeuble'!J29&gt;0,350+80*('Saisie immeuble'!I29+'Saisie immeuble'!J29-1),0)</f>
        <v>0</v>
      </c>
      <c r="AI32" s="97" t="e">
        <f>IF('Saisie immeuble'!H29="gaz de ville",Feuil1!AB32,IF('Saisie immeuble'!H29=$B$72,V32,0))*Feuil1!AH32+IF(AND(R32&lt;&gt;"gaz",(S32&lt;&gt;"gaz"),('Saisie immeuble'!H29="gaz de ville")),Feuil1!AA32,0)</f>
        <v>#N/A</v>
      </c>
      <c r="AJ32" s="52" t="e">
        <f>VLOOKUP('Saisie immeuble'!E29,Feuil1!$G$58:$I$75,2,FALSE)</f>
        <v>#N/A</v>
      </c>
      <c r="AK32" s="1" t="e">
        <f>VLOOKUP('Saisie immeuble'!E29,Feuil1!$G$58:$I$75,3,FALSE)</f>
        <v>#N/A</v>
      </c>
      <c r="AL32" s="98" t="e">
        <f>IF(AK32="élec",V32,IF(AK32="gaz",AB32,IF(AK32="fioul",'Référence&amp;tarifs'!$B$25,IF(AK32="bois buche",'Référence&amp;tarifs'!$B$23,IF(AK32="bois granulés",'Référence&amp;tarifs'!$B$24,IF(AK32=I76,0.8*('Référence&amp;tarifs'!$B$23+'Référence&amp;tarifs'!B34)/2+0.2*Feuil1!AB32,0))))))</f>
        <v>#N/A</v>
      </c>
      <c r="AM32" s="52">
        <f>IF('Saisie immeuble'!I29+'Saisie immeuble'!J29&gt;0,Feuil1!$AM$13+2*('Saisie immeuble'!I29+'Saisie immeuble'!J29-1),0)</f>
        <v>0</v>
      </c>
      <c r="AN32" s="1">
        <f>IF('Saisie immeuble'!I29+'Saisie immeuble'!J29&gt;0,Feuil1!$AN$13*('Saisie immeuble'!I29+'Saisie immeuble'!J29),0)</f>
        <v>0</v>
      </c>
      <c r="AO32" s="1">
        <f>IF('Saisie immeuble'!I29+'Saisie immeuble'!J29&gt;0,Feuil1!$AO$13+3*('Saisie immeuble'!I29+'Saisie immeuble'!J29-1),0)</f>
        <v>0</v>
      </c>
      <c r="AP32" s="1">
        <f>IF('Saisie immeuble'!I29+'Saisie immeuble'!J29&gt;0,Feuil1!$AP$13+2*('Saisie immeuble'!I29+'Saisie immeuble'!J29-1),0)</f>
        <v>0</v>
      </c>
      <c r="AQ32" s="1">
        <f>IF('Saisie immeuble'!I29+'Saisie immeuble'!J29&gt;0,Feuil1!$AQ$13*('Saisie immeuble'!I29+'Saisie immeuble'!J29),0)</f>
        <v>0</v>
      </c>
      <c r="AR32" s="1">
        <f t="shared" si="9"/>
        <v>0</v>
      </c>
      <c r="AS32" s="99" t="e">
        <f>AR32*'Saisie immeuble'!$F$8+IF(AND(R32&lt;&gt;"gaz",(S32="gaz")),AA32,0)</f>
        <v>#N/A</v>
      </c>
      <c r="AT32" s="52">
        <f>IF('Saisie immeuble'!I29+'Saisie immeuble'!J29&gt;0,1100+700*('Saisie immeuble'!I29+'Saisie immeuble'!J29-1),0)</f>
        <v>0</v>
      </c>
      <c r="AU32" s="3" t="e">
        <f>IF(AW32="élec",Feuil1!V32,IF(AW32="gaz",Feuil1!AB32,IF(AW32="fioul",'Référence&amp;tarifs'!$B$25,IF(AW32="bois",('Référence&amp;tarifs'!$B$23+'Référence&amp;tarifs'!$B$24)/2,0))))</f>
        <v>#N/A</v>
      </c>
      <c r="AV32" s="1" t="e">
        <f>VLOOKUP('Saisie immeuble'!F29,Feuil1!$Q$57:$U$70,4,FALSE)</f>
        <v>#N/A</v>
      </c>
      <c r="AW32" s="1" t="e">
        <f>VLOOKUP('Saisie immeuble'!F29,Feuil1!$Q$57:$U$70,5,FALSE)</f>
        <v>#N/A</v>
      </c>
      <c r="AX32" s="97" t="e">
        <f t="shared" si="10"/>
        <v>#N/A</v>
      </c>
    </row>
    <row r="33" spans="2:50" x14ac:dyDescent="0.3">
      <c r="B33" s="52" t="s">
        <v>20</v>
      </c>
      <c r="C33" s="1">
        <f>IF('Saisie immeuble'!D30=Feuil1!$B$4,4,IF(AND('Saisie immeuble'!D30=$B$5,('Saisie immeuble'!$C$4=Feuil1!$C$5)),5,IF(AND('Saisie immeuble'!D30=$B$5,('Saisie immeuble'!$C$4=Feuil1!$C$6)),6,IF(AND('Saisie immeuble'!D30=Feuil1!$B$7,('Saisie immeuble'!$C$4=Feuil1!$C$7)),7,IF(AND('Saisie immeuble'!D30=Feuil1!$B$7,('Saisie immeuble'!$C$4=Feuil1!$C$8)),8,0)))))</f>
        <v>0</v>
      </c>
      <c r="D33" s="90" t="e">
        <f>HLOOKUP('Saisie immeuble'!$C$3,Feuil1!$D$1:$BM$8,Feuil1!C33,FALSE)</f>
        <v>#N/A</v>
      </c>
      <c r="E33" s="1" t="e">
        <f>HLOOKUP('Saisie immeuble'!$C$3,Feuil1!$D$1:$BM$8,3,FALSE)</f>
        <v>#N/A</v>
      </c>
      <c r="F33" s="1" t="e">
        <f>IF(E33=1,450+'Saisie immeuble'!C30*6,IF(E33=2,300+'Saisie immeuble'!C30*5,150+'Saisie immeuble'!C30*3))</f>
        <v>#N/A</v>
      </c>
      <c r="G33" s="1" t="e">
        <f>IF(E33=1,1400+'Saisie immeuble'!C30*6,IF(E33=2,1100+'Saisie immeuble'!C30*6,500+'Saisie immeuble'!C30*6))</f>
        <v>#N/A</v>
      </c>
      <c r="H33" s="90">
        <f>IF('Saisie immeuble'!$C$6="oui",IF('Saisie immeuble'!D30="dernier étage",IF(Feuil1!E33=1,0.4*Feuil1!D33,IF(Feuil1!E33=2,0.35*Feuil1!D33,IF(Feuil1!E33=3,0.3*Feuil1!D33,0))),0),0)</f>
        <v>0</v>
      </c>
      <c r="I33" s="90">
        <f>IF('Saisie immeuble'!$C$7="oui",IF(AND(Feuil1!E33=1,('Saisie immeuble'!$C$4=Feuil1!$C$5)),0.3*Feuil1!D33,IF(AND(Feuil1!E33=1,('Saisie immeuble'!$C$4=Feuil1!$C$6)),0.2*Feuil1!D33,IF(AND(Feuil1!E33=2,('Saisie immeuble'!$C$4=Feuil1!$C$5)),0.25*Feuil1!D33,IF(AND(Feuil1!E33=2,('Saisie immeuble'!$C$4=Feuil1!$C$6)),0.15*Feuil1!D33,IF(AND(Feuil1!E33=3,('Saisie immeuble'!$C$4=Feuil1!$C$5)),0.2*Feuil1!D33,IF(AND(Feuil1!E33=3,('Saisie immeuble'!$C$4=Feuil1!$C$6)),0.12*Feuil1!D33)))))),0)</f>
        <v>0</v>
      </c>
      <c r="J33" s="90">
        <f>IF('Saisie immeuble'!$C$8="oui",IF(AND(Feuil1!E33=1,('Saisie immeuble'!$C$4=Feuil1!$C$5)),0.22*Feuil1!D33,IF(AND(Feuil1!E33=1,('Saisie immeuble'!$C$4=Feuil1!$C$6)),0.14*Feuil1!D33,IF(AND(Feuil1!E33=2,('Saisie immeuble'!$C$4=Feuil1!$C$5)),0.2*Feuil1!D33,IF(AND(Feuil1!E33=2,('Saisie immeuble'!$C$4=Feuil1!$C$6)),0.12*Feuil1!D33,IF(AND(Feuil1!E33=3,('Saisie immeuble'!$C$4=Feuil1!$C$5)),0.16*Feuil1!D33,IF(AND(Feuil1!E33=3,('Saisie immeuble'!$C$4=Feuil1!$C$6)),0.1*Feuil1!D33)))))),0)</f>
        <v>0</v>
      </c>
      <c r="K33" s="90">
        <f>IF('Saisie immeuble'!$F$7="oui",IF('Saisie immeuble'!D30="rez de chaussée",IF(Feuil1!E33=1,0.2*Feuil1!D33,IF(Feuil1!E33=2,0.16*Feuil1!D33,IF(Feuil1!E33=3,0.12*Feuil1!D33,0))),0),0)</f>
        <v>0</v>
      </c>
      <c r="L33" s="1">
        <f>IF('Saisie immeuble'!C30&gt;0,IF('Saisie immeuble'!C30&gt;57,('Saisie immeuble'!C30-57)*55,('Saisie immeuble'!C30-57)*35),0)</f>
        <v>0</v>
      </c>
      <c r="M33" s="1">
        <f>IF('Saisie immeuble'!C30&gt;0,IF('Saisie immeuble'!$H$7=Feuil1!$B$78,IF(Feuil1!E33=1,700,IF(Feuil1!E33=2,550,400)),IF('Saisie immeuble'!$H$7=Feuil1!$B$79,IF(Feuil1!E33=1,350,IF(Feuil1!E33=2,275,200)),0))*(1-((57-'Saisie immeuble'!C30)/100)),0)</f>
        <v>0</v>
      </c>
      <c r="N33" s="90" t="e">
        <f>D33-IF('Saisie immeuble'!G30=Feuil1!$B$68,Feuil1!F33,IF('Saisie immeuble'!G30=Feuil1!$B$69,G33,0))-H33-I33-J33+L33-K33+M33</f>
        <v>#N/A</v>
      </c>
      <c r="O33" s="90" t="e">
        <f t="shared" si="6"/>
        <v>#N/A</v>
      </c>
      <c r="P33" s="90" t="e">
        <f>IF('Saisie immeuble'!$C$5="individuel",N33/AJ33,O33/AJ33)</f>
        <v>#N/A</v>
      </c>
      <c r="Q33" s="99" t="e">
        <f t="shared" si="7"/>
        <v>#N/A</v>
      </c>
      <c r="R33" s="52" t="e">
        <f>VLOOKUP('Saisie immeuble'!E30,Feuil1!$G$58:$I$75,3,0)</f>
        <v>#N/A</v>
      </c>
      <c r="S33" s="1" t="e">
        <f>VLOOKUP('Saisie immeuble'!F30,Feuil1!$Q$57:$U$70,5,FALSE)</f>
        <v>#N/A</v>
      </c>
      <c r="T33" s="1" t="e">
        <f>IF(AND(R33&lt;&gt;"élec",(S33&lt;&gt;"élec"),('Saisie immeuble'!C30&lt;40)),'Référence&amp;tarifs'!$A$6,IF(AND(R33="élec",(S33="élec")),'Référence&amp;tarifs'!$A$8,'Référence&amp;tarifs'!$A$7))</f>
        <v>#N/A</v>
      </c>
      <c r="U33" s="1" t="e">
        <f>VLOOKUP(T33,'Référence&amp;tarifs'!$A$6:$C$10,2,FALSE)</f>
        <v>#N/A</v>
      </c>
      <c r="V33" s="1" t="e">
        <f>VLOOKUP(T33,'Référence&amp;tarifs'!$A$6:$C$10,3,FALSE)</f>
        <v>#N/A</v>
      </c>
      <c r="W33" s="1"/>
      <c r="X33" s="51" t="e">
        <f>IF('Résultat immeuble'!#REF!&lt;1.1,HLOOKUP(Feuil1!T33,'Référence&amp;tarifs'!#REF!,2,FALSE),IF('Résultat immeuble'!#REF!&gt;1.9,HLOOKUP(Feuil1!T33,'Référence&amp;tarifs'!#REF!,4,FALSE),HLOOKUP(Feuil1!T33,'Référence&amp;tarifs'!#REF!,3,FALSE)))</f>
        <v>#REF!</v>
      </c>
      <c r="Y33" s="52" t="e">
        <f>IF(R33="gaz",N33,0)+IF(S33="gaz",AT33,0)+IF('Saisie immeuble'!H30="gaz de ville",Feuil1!AH33,0)</f>
        <v>#N/A</v>
      </c>
      <c r="Z33" s="1" t="e">
        <f>IF(Y33&lt;1000,'Référence&amp;tarifs'!$A$16,IF(Y33&gt;5999,'Référence&amp;tarifs'!$A$18,'Référence&amp;tarifs'!$A$17))</f>
        <v>#N/A</v>
      </c>
      <c r="AA33" s="1" t="e">
        <f>VLOOKUP(Z33,'Référence&amp;tarifs'!$A$16:$C$18,2,FALSE)</f>
        <v>#N/A</v>
      </c>
      <c r="AB33" s="1" t="e">
        <f>VLOOKUP(Z33,'Référence&amp;tarifs'!$A$16:$C$18,3,FALSE)</f>
        <v>#N/A</v>
      </c>
      <c r="AC33" s="58" t="b">
        <f>IF('Saisie immeuble'!$C$5="individuel",IF('Résultat immeuble'!#REF!=1,HLOOKUP(Feuil1!Z33,'Référence&amp;tarifs'!#REF!,2,FALSE),IF('Résultat immeuble'!#REF!&gt;1.9,HLOOKUP(Feuil1!Z33,'Référence&amp;tarifs'!#REF!,4,FALSE),HLOOKUP(Feuil1!Z33,'Référence&amp;tarifs'!#REF!,3,FALSE))),IF('Saisie immeuble'!$C$5="collectif",IF('Résultat immeuble'!#REF!=1,'Référence&amp;tarifs'!#REF!,IF('Résultat immeuble'!#REF!&gt;1.9,'Référence&amp;tarifs'!#REF!,IF(AND('Résultat immeuble'!#REF!&lt;2,('Résultat immeuble'!#REF!&gt;1)),'Référence&amp;tarifs'!#REF!,0)))))</f>
        <v>0</v>
      </c>
      <c r="AD33" s="109">
        <f>IF('Saisie immeuble'!I30+'Saisie immeuble'!J30&gt;0,18*'Saisie immeuble'!C30+3.5*('Saisie immeuble'!I30+'Saisie immeuble'!J30-1)*'Saisie immeuble'!C30,0)</f>
        <v>0</v>
      </c>
      <c r="AE33" s="110"/>
      <c r="AF33" s="111"/>
      <c r="AG33" s="97" t="e">
        <f t="shared" si="8"/>
        <v>#N/A</v>
      </c>
      <c r="AH33" s="52">
        <f>IF('Saisie immeuble'!I30+'Saisie immeuble'!J30&gt;0,350+80*('Saisie immeuble'!I30+'Saisie immeuble'!J30-1),0)</f>
        <v>0</v>
      </c>
      <c r="AI33" s="97" t="e">
        <f>IF('Saisie immeuble'!H30="gaz de ville",Feuil1!AB33,IF('Saisie immeuble'!H30=$B$72,V33,0))*Feuil1!AH33+IF(AND(R33&lt;&gt;"gaz",(S33&lt;&gt;"gaz"),('Saisie immeuble'!H30="gaz de ville")),Feuil1!AA33,0)</f>
        <v>#N/A</v>
      </c>
      <c r="AJ33" s="52" t="e">
        <f>VLOOKUP('Saisie immeuble'!E30,Feuil1!$G$58:$I$75,2,FALSE)</f>
        <v>#N/A</v>
      </c>
      <c r="AK33" s="1" t="e">
        <f>VLOOKUP('Saisie immeuble'!E30,Feuil1!$G$58:$I$75,3,FALSE)</f>
        <v>#N/A</v>
      </c>
      <c r="AL33" s="98" t="e">
        <f>IF(AK33="élec",V33,IF(AK33="gaz",AB33,IF(AK33="fioul",'Référence&amp;tarifs'!$B$25,IF(AK33="bois buche",'Référence&amp;tarifs'!$B$23,IF(AK33="bois granulés",'Référence&amp;tarifs'!$B$24,IF(AK33=I77,0.8*('Référence&amp;tarifs'!$B$23+'Référence&amp;tarifs'!B35)/2+0.2*Feuil1!AB33,0))))))</f>
        <v>#N/A</v>
      </c>
      <c r="AM33" s="52">
        <f>IF('Saisie immeuble'!I30+'Saisie immeuble'!J30&gt;0,Feuil1!$AM$13+2*('Saisie immeuble'!I30+'Saisie immeuble'!J30-1),0)</f>
        <v>0</v>
      </c>
      <c r="AN33" s="1">
        <f>IF('Saisie immeuble'!I30+'Saisie immeuble'!J30&gt;0,Feuil1!$AN$13*('Saisie immeuble'!I30+'Saisie immeuble'!J30),0)</f>
        <v>0</v>
      </c>
      <c r="AO33" s="1">
        <f>IF('Saisie immeuble'!I30+'Saisie immeuble'!J30&gt;0,Feuil1!$AO$13+3*('Saisie immeuble'!I30+'Saisie immeuble'!J30-1),0)</f>
        <v>0</v>
      </c>
      <c r="AP33" s="1">
        <f>IF('Saisie immeuble'!I30+'Saisie immeuble'!J30&gt;0,Feuil1!$AP$13+2*('Saisie immeuble'!I30+'Saisie immeuble'!J30-1),0)</f>
        <v>0</v>
      </c>
      <c r="AQ33" s="1">
        <f>IF('Saisie immeuble'!I30+'Saisie immeuble'!J30&gt;0,Feuil1!$AQ$13*('Saisie immeuble'!I30+'Saisie immeuble'!J30),0)</f>
        <v>0</v>
      </c>
      <c r="AR33" s="1">
        <f t="shared" si="9"/>
        <v>0</v>
      </c>
      <c r="AS33" s="99" t="e">
        <f>AR33*'Saisie immeuble'!$F$8+IF(AND(R33&lt;&gt;"gaz",(S33="gaz")),AA33,0)</f>
        <v>#N/A</v>
      </c>
      <c r="AT33" s="52">
        <f>IF('Saisie immeuble'!I30+'Saisie immeuble'!J30&gt;0,1100+700*('Saisie immeuble'!I30+'Saisie immeuble'!J30-1),0)</f>
        <v>0</v>
      </c>
      <c r="AU33" s="3" t="e">
        <f>IF(AW33="élec",Feuil1!V33,IF(AW33="gaz",Feuil1!AB33,IF(AW33="fioul",'Référence&amp;tarifs'!$B$25,IF(AW33="bois",('Référence&amp;tarifs'!$B$23+'Référence&amp;tarifs'!$B$24)/2,0))))</f>
        <v>#N/A</v>
      </c>
      <c r="AV33" s="1" t="e">
        <f>VLOOKUP('Saisie immeuble'!F30,Feuil1!$Q$57:$U$70,4,FALSE)</f>
        <v>#N/A</v>
      </c>
      <c r="AW33" s="1" t="e">
        <f>VLOOKUP('Saisie immeuble'!F30,Feuil1!$Q$57:$U$70,5,FALSE)</f>
        <v>#N/A</v>
      </c>
      <c r="AX33" s="97" t="e">
        <f t="shared" si="10"/>
        <v>#N/A</v>
      </c>
    </row>
    <row r="34" spans="2:50" x14ac:dyDescent="0.3">
      <c r="B34" s="52" t="s">
        <v>21</v>
      </c>
      <c r="C34" s="1">
        <f>IF('Saisie immeuble'!D31=Feuil1!$B$4,4,IF(AND('Saisie immeuble'!D31=$B$5,('Saisie immeuble'!$C$4=Feuil1!$C$5)),5,IF(AND('Saisie immeuble'!D31=$B$5,('Saisie immeuble'!$C$4=Feuil1!$C$6)),6,IF(AND('Saisie immeuble'!D31=Feuil1!$B$7,('Saisie immeuble'!$C$4=Feuil1!$C$7)),7,IF(AND('Saisie immeuble'!D31=Feuil1!$B$7,('Saisie immeuble'!$C$4=Feuil1!$C$8)),8,0)))))</f>
        <v>0</v>
      </c>
      <c r="D34" s="90" t="e">
        <f>HLOOKUP('Saisie immeuble'!$C$3,Feuil1!$D$1:$BM$8,Feuil1!C34,FALSE)</f>
        <v>#N/A</v>
      </c>
      <c r="E34" s="1" t="e">
        <f>HLOOKUP('Saisie immeuble'!$C$3,Feuil1!$D$1:$BM$8,3,FALSE)</f>
        <v>#N/A</v>
      </c>
      <c r="F34" s="1" t="e">
        <f>IF(E34=1,450+'Saisie immeuble'!C31*6,IF(E34=2,300+'Saisie immeuble'!C31*5,150+'Saisie immeuble'!C31*3))</f>
        <v>#N/A</v>
      </c>
      <c r="G34" s="1" t="e">
        <f>IF(E34=1,1400+'Saisie immeuble'!C31*6,IF(E34=2,1100+'Saisie immeuble'!C31*6,500+'Saisie immeuble'!C31*6))</f>
        <v>#N/A</v>
      </c>
      <c r="H34" s="90">
        <f>IF('Saisie immeuble'!$C$6="oui",IF('Saisie immeuble'!D31="dernier étage",IF(Feuil1!E34=1,0.4*Feuil1!D34,IF(Feuil1!E34=2,0.35*Feuil1!D34,IF(Feuil1!E34=3,0.3*Feuil1!D34,0))),0),0)</f>
        <v>0</v>
      </c>
      <c r="I34" s="90">
        <f>IF('Saisie immeuble'!$C$7="oui",IF(AND(Feuil1!E34=1,('Saisie immeuble'!$C$4=Feuil1!$C$5)),0.3*Feuil1!D34,IF(AND(Feuil1!E34=1,('Saisie immeuble'!$C$4=Feuil1!$C$6)),0.2*Feuil1!D34,IF(AND(Feuil1!E34=2,('Saisie immeuble'!$C$4=Feuil1!$C$5)),0.25*Feuil1!D34,IF(AND(Feuil1!E34=2,('Saisie immeuble'!$C$4=Feuil1!$C$6)),0.15*Feuil1!D34,IF(AND(Feuil1!E34=3,('Saisie immeuble'!$C$4=Feuil1!$C$5)),0.2*Feuil1!D34,IF(AND(Feuil1!E34=3,('Saisie immeuble'!$C$4=Feuil1!$C$6)),0.12*Feuil1!D34)))))),0)</f>
        <v>0</v>
      </c>
      <c r="J34" s="90">
        <f>IF('Saisie immeuble'!$C$8="oui",IF(AND(Feuil1!E34=1,('Saisie immeuble'!$C$4=Feuil1!$C$5)),0.22*Feuil1!D34,IF(AND(Feuil1!E34=1,('Saisie immeuble'!$C$4=Feuil1!$C$6)),0.14*Feuil1!D34,IF(AND(Feuil1!E34=2,('Saisie immeuble'!$C$4=Feuil1!$C$5)),0.2*Feuil1!D34,IF(AND(Feuil1!E34=2,('Saisie immeuble'!$C$4=Feuil1!$C$6)),0.12*Feuil1!D34,IF(AND(Feuil1!E34=3,('Saisie immeuble'!$C$4=Feuil1!$C$5)),0.16*Feuil1!D34,IF(AND(Feuil1!E34=3,('Saisie immeuble'!$C$4=Feuil1!$C$6)),0.1*Feuil1!D34)))))),0)</f>
        <v>0</v>
      </c>
      <c r="K34" s="90">
        <f>IF('Saisie immeuble'!$F$7="oui",IF('Saisie immeuble'!D31="rez de chaussée",IF(Feuil1!E34=1,0.2*Feuil1!D34,IF(Feuil1!E34=2,0.16*Feuil1!D34,IF(Feuil1!E34=3,0.12*Feuil1!D34,0))),0),0)</f>
        <v>0</v>
      </c>
      <c r="L34" s="1">
        <f>IF('Saisie immeuble'!C31&gt;0,IF('Saisie immeuble'!C31&gt;57,('Saisie immeuble'!C31-57)*55,('Saisie immeuble'!C31-57)*35),0)</f>
        <v>0</v>
      </c>
      <c r="M34" s="1">
        <f>IF('Saisie immeuble'!C31&gt;0,IF('Saisie immeuble'!$H$7=Feuil1!$B$78,IF(Feuil1!E34=1,700,IF(Feuil1!E34=2,550,400)),IF('Saisie immeuble'!$H$7=Feuil1!$B$79,IF(Feuil1!E34=1,350,IF(Feuil1!E34=2,275,200)),0))*(1-((57-'Saisie immeuble'!C31)/100)),0)</f>
        <v>0</v>
      </c>
      <c r="N34" s="90" t="e">
        <f>D34-IF('Saisie immeuble'!G31=Feuil1!$B$68,Feuil1!F34,IF('Saisie immeuble'!G31=Feuil1!$B$69,G34,0))-H34-I34-J34+L34-K34+M34</f>
        <v>#N/A</v>
      </c>
      <c r="O34" s="90" t="e">
        <f t="shared" si="6"/>
        <v>#N/A</v>
      </c>
      <c r="P34" s="90" t="e">
        <f>IF('Saisie immeuble'!$C$5="individuel",N34/AJ34,O34/AJ34)</f>
        <v>#N/A</v>
      </c>
      <c r="Q34" s="99" t="e">
        <f t="shared" si="7"/>
        <v>#N/A</v>
      </c>
      <c r="R34" s="52" t="e">
        <f>VLOOKUP('Saisie immeuble'!E31,Feuil1!$G$58:$I$75,3,0)</f>
        <v>#N/A</v>
      </c>
      <c r="S34" s="1" t="e">
        <f>VLOOKUP('Saisie immeuble'!F31,Feuil1!$Q$57:$U$70,5,FALSE)</f>
        <v>#N/A</v>
      </c>
      <c r="T34" s="1" t="e">
        <f>IF(AND(R34&lt;&gt;"élec",(S34&lt;&gt;"élec"),('Saisie immeuble'!C31&lt;40)),'Référence&amp;tarifs'!$A$6,IF(AND(R34="élec",(S34="élec")),'Référence&amp;tarifs'!$A$8,'Référence&amp;tarifs'!$A$7))</f>
        <v>#N/A</v>
      </c>
      <c r="U34" s="1" t="e">
        <f>VLOOKUP(T34,'Référence&amp;tarifs'!$A$6:$C$10,2,FALSE)</f>
        <v>#N/A</v>
      </c>
      <c r="V34" s="1" t="e">
        <f>VLOOKUP(T34,'Référence&amp;tarifs'!$A$6:$C$10,3,FALSE)</f>
        <v>#N/A</v>
      </c>
      <c r="W34" s="1"/>
      <c r="X34" s="51" t="e">
        <f>IF('Résultat immeuble'!S23&lt;1.1,HLOOKUP(Feuil1!T34,'Référence&amp;tarifs'!#REF!,2,FALSE),IF('Résultat immeuble'!S23&gt;1.9,HLOOKUP(Feuil1!T34,'Référence&amp;tarifs'!#REF!,4,FALSE),HLOOKUP(Feuil1!T34,'Référence&amp;tarifs'!#REF!,3,FALSE)))</f>
        <v>#N/A</v>
      </c>
      <c r="Y34" s="52" t="e">
        <f>IF(R34="gaz",N34,0)+IF(S34="gaz",AT34,0)+IF('Saisie immeuble'!H31="gaz de ville",Feuil1!AH34,0)</f>
        <v>#N/A</v>
      </c>
      <c r="Z34" s="1" t="e">
        <f>IF(Y34&lt;1000,'Référence&amp;tarifs'!$A$16,IF(Y34&gt;5999,'Référence&amp;tarifs'!$A$18,'Référence&amp;tarifs'!$A$17))</f>
        <v>#N/A</v>
      </c>
      <c r="AA34" s="1" t="e">
        <f>VLOOKUP(Z34,'Référence&amp;tarifs'!$A$16:$C$18,2,FALSE)</f>
        <v>#N/A</v>
      </c>
      <c r="AB34" s="1" t="e">
        <f>VLOOKUP(Z34,'Référence&amp;tarifs'!$A$16:$C$18,3,FALSE)</f>
        <v>#N/A</v>
      </c>
      <c r="AC34" s="58" t="b">
        <f>IF('Saisie immeuble'!$C$5="individuel",IF('Résultat immeuble'!S23=1,HLOOKUP(Feuil1!Z34,'Référence&amp;tarifs'!#REF!,2,FALSE),IF('Résultat immeuble'!S23&gt;1.9,HLOOKUP(Feuil1!Z34,'Référence&amp;tarifs'!#REF!,4,FALSE),HLOOKUP(Feuil1!Z34,'Référence&amp;tarifs'!#REF!,3,FALSE))),IF('Saisie immeuble'!$C$5="collectif",IF('Résultat immeuble'!S23=1,'Référence&amp;tarifs'!#REF!,IF('Résultat immeuble'!S23&gt;1.9,'Référence&amp;tarifs'!#REF!,IF(AND('Résultat immeuble'!S23&lt;2,('Résultat immeuble'!S23&gt;1)),'Référence&amp;tarifs'!#REF!,0)))))</f>
        <v>0</v>
      </c>
      <c r="AD34" s="109">
        <f>IF('Saisie immeuble'!I31+'Saisie immeuble'!J31&gt;0,18*'Saisie immeuble'!C31+3.5*('Saisie immeuble'!I31+'Saisie immeuble'!J31-1)*'Saisie immeuble'!C31,0)</f>
        <v>0</v>
      </c>
      <c r="AE34" s="110"/>
      <c r="AF34" s="111"/>
      <c r="AG34" s="97" t="e">
        <f t="shared" si="8"/>
        <v>#N/A</v>
      </c>
      <c r="AH34" s="52">
        <f>IF('Saisie immeuble'!I31+'Saisie immeuble'!J31&gt;0,350+80*('Saisie immeuble'!I31+'Saisie immeuble'!J31-1),0)</f>
        <v>0</v>
      </c>
      <c r="AI34" s="97" t="e">
        <f>IF('Saisie immeuble'!H31="gaz de ville",Feuil1!AB34,IF('Saisie immeuble'!H31=$B$72,V34,0))*Feuil1!AH34+IF(AND(R34&lt;&gt;"gaz",(S34&lt;&gt;"gaz"),('Saisie immeuble'!H31="gaz de ville")),Feuil1!AA34,0)</f>
        <v>#N/A</v>
      </c>
      <c r="AJ34" s="52" t="e">
        <f>VLOOKUP('Saisie immeuble'!E31,Feuil1!$G$58:$I$75,2,FALSE)</f>
        <v>#N/A</v>
      </c>
      <c r="AK34" s="1" t="e">
        <f>VLOOKUP('Saisie immeuble'!E31,Feuil1!$G$58:$I$75,3,FALSE)</f>
        <v>#N/A</v>
      </c>
      <c r="AL34" s="98" t="e">
        <f>IF(AK34="élec",V34,IF(AK34="gaz",AB34,IF(AK34="fioul",'Référence&amp;tarifs'!$B$25,IF(AK34="bois buche",'Référence&amp;tarifs'!$B$23,IF(AK34="bois granulés",'Référence&amp;tarifs'!$B$24,IF(AK34=I78,0.8*('Référence&amp;tarifs'!$B$23+'Référence&amp;tarifs'!B36)/2+0.2*Feuil1!AB34,0))))))</f>
        <v>#N/A</v>
      </c>
      <c r="AM34" s="52">
        <f>IF('Saisie immeuble'!I31+'Saisie immeuble'!J31&gt;0,Feuil1!$AM$13+2*('Saisie immeuble'!I31+'Saisie immeuble'!J31-1),0)</f>
        <v>0</v>
      </c>
      <c r="AN34" s="1">
        <f>IF('Saisie immeuble'!I31+'Saisie immeuble'!J31&gt;0,Feuil1!$AN$13*('Saisie immeuble'!I31+'Saisie immeuble'!J31),0)</f>
        <v>0</v>
      </c>
      <c r="AO34" s="1">
        <f>IF('Saisie immeuble'!I31+'Saisie immeuble'!J31&gt;0,Feuil1!$AO$13+3*('Saisie immeuble'!I31+'Saisie immeuble'!J31-1),0)</f>
        <v>0</v>
      </c>
      <c r="AP34" s="1">
        <f>IF('Saisie immeuble'!I31+'Saisie immeuble'!J31&gt;0,Feuil1!$AP$13+2*('Saisie immeuble'!I31+'Saisie immeuble'!J31-1),0)</f>
        <v>0</v>
      </c>
      <c r="AQ34" s="1">
        <f>IF('Saisie immeuble'!I31+'Saisie immeuble'!J31&gt;0,Feuil1!$AQ$13*('Saisie immeuble'!I31+'Saisie immeuble'!J31),0)</f>
        <v>0</v>
      </c>
      <c r="AR34" s="1">
        <f t="shared" si="9"/>
        <v>0</v>
      </c>
      <c r="AS34" s="99" t="e">
        <f>AR34*'Saisie immeuble'!$F$8+IF(AND(R34&lt;&gt;"gaz",(S34="gaz")),AA34,0)</f>
        <v>#N/A</v>
      </c>
      <c r="AT34" s="52">
        <f>IF('Saisie immeuble'!I31+'Saisie immeuble'!J31&gt;0,1100+700*('Saisie immeuble'!I31+'Saisie immeuble'!J31-1),0)</f>
        <v>0</v>
      </c>
      <c r="AU34" s="3" t="e">
        <f>IF(AW34="élec",Feuil1!V34,IF(AW34="gaz",Feuil1!AB34,IF(AW34="fioul",'Référence&amp;tarifs'!$B$25,IF(AW34="bois",('Référence&amp;tarifs'!$B$23+'Référence&amp;tarifs'!$B$24)/2,0))))</f>
        <v>#N/A</v>
      </c>
      <c r="AV34" s="1" t="e">
        <f>VLOOKUP('Saisie immeuble'!F31,Feuil1!$Q$57:$U$70,4,FALSE)</f>
        <v>#N/A</v>
      </c>
      <c r="AW34" s="1" t="e">
        <f>VLOOKUP('Saisie immeuble'!F31,Feuil1!$Q$57:$U$70,5,FALSE)</f>
        <v>#N/A</v>
      </c>
      <c r="AX34" s="97" t="e">
        <f t="shared" si="10"/>
        <v>#N/A</v>
      </c>
    </row>
    <row r="35" spans="2:50" x14ac:dyDescent="0.3">
      <c r="B35" s="52" t="s">
        <v>22</v>
      </c>
      <c r="C35" s="1">
        <f>IF('Saisie immeuble'!D32=Feuil1!$B$4,4,IF(AND('Saisie immeuble'!D32=$B$5,('Saisie immeuble'!$C$4=Feuil1!$C$5)),5,IF(AND('Saisie immeuble'!D32=$B$5,('Saisie immeuble'!$C$4=Feuil1!$C$6)),6,IF(AND('Saisie immeuble'!D32=Feuil1!$B$7,('Saisie immeuble'!$C$4=Feuil1!$C$7)),7,IF(AND('Saisie immeuble'!D32=Feuil1!$B$7,('Saisie immeuble'!$C$4=Feuil1!$C$8)),8,0)))))</f>
        <v>0</v>
      </c>
      <c r="D35" s="90" t="e">
        <f>HLOOKUP('Saisie immeuble'!$C$3,Feuil1!$D$1:$BM$8,Feuil1!C35,FALSE)</f>
        <v>#N/A</v>
      </c>
      <c r="E35" s="1" t="e">
        <f>HLOOKUP('Saisie immeuble'!$C$3,Feuil1!$D$1:$BM$8,3,FALSE)</f>
        <v>#N/A</v>
      </c>
      <c r="F35" s="1" t="e">
        <f>IF(E35=1,450+'Saisie immeuble'!C32*6,IF(E35=2,300+'Saisie immeuble'!C32*5,150+'Saisie immeuble'!C32*3))</f>
        <v>#N/A</v>
      </c>
      <c r="G35" s="1" t="e">
        <f>IF(E35=1,1400+'Saisie immeuble'!C32*6,IF(E35=2,1100+'Saisie immeuble'!C32*6,500+'Saisie immeuble'!C32*6))</f>
        <v>#N/A</v>
      </c>
      <c r="H35" s="90">
        <f>IF('Saisie immeuble'!$C$6="oui",IF('Saisie immeuble'!D32="dernier étage",IF(Feuil1!E35=1,0.4*Feuil1!D35,IF(Feuil1!E35=2,0.35*Feuil1!D35,IF(Feuil1!E35=3,0.3*Feuil1!D35,0))),0),0)</f>
        <v>0</v>
      </c>
      <c r="I35" s="90">
        <f>IF('Saisie immeuble'!$C$7="oui",IF(AND(Feuil1!E35=1,('Saisie immeuble'!$C$4=Feuil1!$C$5)),0.3*Feuil1!D35,IF(AND(Feuil1!E35=1,('Saisie immeuble'!$C$4=Feuil1!$C$6)),0.2*Feuil1!D35,IF(AND(Feuil1!E35=2,('Saisie immeuble'!$C$4=Feuil1!$C$5)),0.25*Feuil1!D35,IF(AND(Feuil1!E35=2,('Saisie immeuble'!$C$4=Feuil1!$C$6)),0.15*Feuil1!D35,IF(AND(Feuil1!E35=3,('Saisie immeuble'!$C$4=Feuil1!$C$5)),0.2*Feuil1!D35,IF(AND(Feuil1!E35=3,('Saisie immeuble'!$C$4=Feuil1!$C$6)),0.12*Feuil1!D35)))))),0)</f>
        <v>0</v>
      </c>
      <c r="J35" s="90">
        <f>IF('Saisie immeuble'!$C$8="oui",IF(AND(Feuil1!E35=1,('Saisie immeuble'!$C$4=Feuil1!$C$5)),0.22*Feuil1!D35,IF(AND(Feuil1!E35=1,('Saisie immeuble'!$C$4=Feuil1!$C$6)),0.14*Feuil1!D35,IF(AND(Feuil1!E35=2,('Saisie immeuble'!$C$4=Feuil1!$C$5)),0.2*Feuil1!D35,IF(AND(Feuil1!E35=2,('Saisie immeuble'!$C$4=Feuil1!$C$6)),0.12*Feuil1!D35,IF(AND(Feuil1!E35=3,('Saisie immeuble'!$C$4=Feuil1!$C$5)),0.16*Feuil1!D35,IF(AND(Feuil1!E35=3,('Saisie immeuble'!$C$4=Feuil1!$C$6)),0.1*Feuil1!D35)))))),0)</f>
        <v>0</v>
      </c>
      <c r="K35" s="90">
        <f>IF('Saisie immeuble'!$F$7="oui",IF('Saisie immeuble'!D32="rez de chaussée",IF(Feuil1!E35=1,0.2*Feuil1!D35,IF(Feuil1!E35=2,0.16*Feuil1!D35,IF(Feuil1!E35=3,0.12*Feuil1!D35,0))),0),0)</f>
        <v>0</v>
      </c>
      <c r="L35" s="1">
        <f>IF('Saisie immeuble'!C32&gt;0,IF('Saisie immeuble'!C32&gt;57,('Saisie immeuble'!C32-57)*55,('Saisie immeuble'!C32-57)*35),0)</f>
        <v>0</v>
      </c>
      <c r="M35" s="1">
        <f>IF('Saisie immeuble'!C32&gt;0,IF('Saisie immeuble'!$H$7=Feuil1!$B$78,IF(Feuil1!E35=1,700,IF(Feuil1!E35=2,550,400)),IF('Saisie immeuble'!$H$7=Feuil1!$B$79,IF(Feuil1!E35=1,350,IF(Feuil1!E35=2,275,200)),0))*(1-((57-'Saisie immeuble'!C32)/100)),0)</f>
        <v>0</v>
      </c>
      <c r="N35" s="90" t="e">
        <f>D35-IF('Saisie immeuble'!G32=Feuil1!$B$68,Feuil1!F35,IF('Saisie immeuble'!G32=Feuil1!$B$69,G35,0))-H35-I35-J35+L35-K35+M35</f>
        <v>#N/A</v>
      </c>
      <c r="O35" s="90" t="e">
        <f t="shared" si="6"/>
        <v>#N/A</v>
      </c>
      <c r="P35" s="90" t="e">
        <f>IF('Saisie immeuble'!$C$5="individuel",N35/AJ35,O35/AJ35)</f>
        <v>#N/A</v>
      </c>
      <c r="Q35" s="99" t="e">
        <f t="shared" si="7"/>
        <v>#N/A</v>
      </c>
      <c r="R35" s="52" t="e">
        <f>VLOOKUP('Saisie immeuble'!E32,Feuil1!$G$58:$I$75,3,0)</f>
        <v>#N/A</v>
      </c>
      <c r="S35" s="1" t="e">
        <f>VLOOKUP('Saisie immeuble'!F32,Feuil1!$Q$57:$U$70,5,FALSE)</f>
        <v>#N/A</v>
      </c>
      <c r="T35" s="1" t="e">
        <f>IF(AND(R35&lt;&gt;"élec",(S35&lt;&gt;"élec"),('Saisie immeuble'!C32&lt;40)),'Référence&amp;tarifs'!$A$6,IF(AND(R35="élec",(S35="élec")),'Référence&amp;tarifs'!$A$8,'Référence&amp;tarifs'!$A$7))</f>
        <v>#N/A</v>
      </c>
      <c r="U35" s="1" t="e">
        <f>VLOOKUP(T35,'Référence&amp;tarifs'!$A$6:$C$10,2,FALSE)</f>
        <v>#N/A</v>
      </c>
      <c r="V35" s="1" t="e">
        <f>VLOOKUP(T35,'Référence&amp;tarifs'!$A$6:$C$10,3,FALSE)</f>
        <v>#N/A</v>
      </c>
      <c r="W35" s="1"/>
      <c r="X35" s="51" t="e">
        <f>IF('Résultat immeuble'!#REF!&lt;1.1,HLOOKUP(Feuil1!T35,'Référence&amp;tarifs'!#REF!,2,FALSE),IF('Résultat immeuble'!#REF!&gt;1.9,HLOOKUP(Feuil1!T35,'Référence&amp;tarifs'!#REF!,4,FALSE),HLOOKUP(Feuil1!T35,'Référence&amp;tarifs'!#REF!,3,FALSE)))</f>
        <v>#REF!</v>
      </c>
      <c r="Y35" s="52" t="e">
        <f>IF(R35="gaz",N35,0)+IF(S35="gaz",AT35,0)+IF('Saisie immeuble'!H32="gaz de ville",Feuil1!AH35,0)</f>
        <v>#N/A</v>
      </c>
      <c r="Z35" s="1" t="e">
        <f>IF(Y35&lt;1000,'Référence&amp;tarifs'!$A$16,IF(Y35&gt;5999,'Référence&amp;tarifs'!$A$18,'Référence&amp;tarifs'!$A$17))</f>
        <v>#N/A</v>
      </c>
      <c r="AA35" s="1" t="e">
        <f>VLOOKUP(Z35,'Référence&amp;tarifs'!$A$16:$C$18,2,FALSE)</f>
        <v>#N/A</v>
      </c>
      <c r="AB35" s="1" t="e">
        <f>VLOOKUP(Z35,'Référence&amp;tarifs'!$A$16:$C$18,3,FALSE)</f>
        <v>#N/A</v>
      </c>
      <c r="AC35" s="58" t="b">
        <f>IF('Saisie immeuble'!$C$5="individuel",IF('Résultat immeuble'!#REF!=1,HLOOKUP(Feuil1!Z35,'Référence&amp;tarifs'!#REF!,2,FALSE),IF('Résultat immeuble'!#REF!&gt;1.9,HLOOKUP(Feuil1!Z35,'Référence&amp;tarifs'!#REF!,4,FALSE),HLOOKUP(Feuil1!Z35,'Référence&amp;tarifs'!#REF!,3,FALSE))),IF('Saisie immeuble'!$C$5="collectif",IF('Résultat immeuble'!#REF!=1,'Référence&amp;tarifs'!#REF!,IF('Résultat immeuble'!#REF!&gt;1.9,'Référence&amp;tarifs'!#REF!,IF(AND('Résultat immeuble'!#REF!&lt;2,('Résultat immeuble'!#REF!&gt;1)),'Référence&amp;tarifs'!#REF!,0)))))</f>
        <v>0</v>
      </c>
      <c r="AD35" s="109">
        <f>IF('Saisie immeuble'!I32+'Saisie immeuble'!J32&gt;0,18*'Saisie immeuble'!C32+3.5*('Saisie immeuble'!I32+'Saisie immeuble'!J32-1)*'Saisie immeuble'!C32,0)</f>
        <v>0</v>
      </c>
      <c r="AE35" s="110"/>
      <c r="AF35" s="111"/>
      <c r="AG35" s="97" t="e">
        <f t="shared" si="8"/>
        <v>#N/A</v>
      </c>
      <c r="AH35" s="52">
        <f>IF('Saisie immeuble'!I32+'Saisie immeuble'!J32&gt;0,350+80*('Saisie immeuble'!I32+'Saisie immeuble'!J32-1),0)</f>
        <v>0</v>
      </c>
      <c r="AI35" s="97" t="e">
        <f>IF('Saisie immeuble'!H32="gaz de ville",Feuil1!AB35,IF('Saisie immeuble'!H32=$B$72,V35,0))*Feuil1!AH35+IF(AND(R35&lt;&gt;"gaz",(S35&lt;&gt;"gaz"),('Saisie immeuble'!H32="gaz de ville")),Feuil1!AA35,0)</f>
        <v>#N/A</v>
      </c>
      <c r="AJ35" s="52" t="e">
        <f>VLOOKUP('Saisie immeuble'!E32,Feuil1!$G$58:$I$75,2,FALSE)</f>
        <v>#N/A</v>
      </c>
      <c r="AK35" s="1" t="e">
        <f>VLOOKUP('Saisie immeuble'!E32,Feuil1!$G$58:$I$75,3,FALSE)</f>
        <v>#N/A</v>
      </c>
      <c r="AL35" s="98" t="e">
        <f>IF(AK35="élec",V35,IF(AK35="gaz",AB35,IF(AK35="fioul",'Référence&amp;tarifs'!$B$25,IF(AK35="bois buche",'Référence&amp;tarifs'!$B$23,IF(AK35="bois granulés",'Référence&amp;tarifs'!$B$24,IF(AK35=I79,0.8*('Référence&amp;tarifs'!$B$23+'Référence&amp;tarifs'!B37)/2+0.2*Feuil1!AB35,0))))))</f>
        <v>#N/A</v>
      </c>
      <c r="AM35" s="52">
        <f>IF('Saisie immeuble'!I32+'Saisie immeuble'!J32&gt;0,Feuil1!$AM$13+2*('Saisie immeuble'!I32+'Saisie immeuble'!J32-1),0)</f>
        <v>0</v>
      </c>
      <c r="AN35" s="1">
        <f>IF('Saisie immeuble'!I32+'Saisie immeuble'!J32&gt;0,Feuil1!$AN$13*('Saisie immeuble'!I32+'Saisie immeuble'!J32),0)</f>
        <v>0</v>
      </c>
      <c r="AO35" s="1">
        <f>IF('Saisie immeuble'!I32+'Saisie immeuble'!J32&gt;0,Feuil1!$AO$13+3*('Saisie immeuble'!I32+'Saisie immeuble'!J32-1),0)</f>
        <v>0</v>
      </c>
      <c r="AP35" s="1">
        <f>IF('Saisie immeuble'!I32+'Saisie immeuble'!J32&gt;0,Feuil1!$AP$13+2*('Saisie immeuble'!I32+'Saisie immeuble'!J32-1),0)</f>
        <v>0</v>
      </c>
      <c r="AQ35" s="1">
        <f>IF('Saisie immeuble'!I32+'Saisie immeuble'!J32&gt;0,Feuil1!$AQ$13*('Saisie immeuble'!I32+'Saisie immeuble'!J32),0)</f>
        <v>0</v>
      </c>
      <c r="AR35" s="1">
        <f t="shared" si="9"/>
        <v>0</v>
      </c>
      <c r="AS35" s="99" t="e">
        <f>AR35*'Saisie immeuble'!$F$8+IF(AND(R35&lt;&gt;"gaz",(S35="gaz")),AA35,0)</f>
        <v>#N/A</v>
      </c>
      <c r="AT35" s="52">
        <f>IF('Saisie immeuble'!I32+'Saisie immeuble'!J32&gt;0,1100+700*('Saisie immeuble'!I32+'Saisie immeuble'!J32-1),0)</f>
        <v>0</v>
      </c>
      <c r="AU35" s="3" t="e">
        <f>IF(AW35="élec",Feuil1!V35,IF(AW35="gaz",Feuil1!AB35,IF(AW35="fioul",'Référence&amp;tarifs'!$B$25,IF(AW35="bois",('Référence&amp;tarifs'!$B$23+'Référence&amp;tarifs'!$B$24)/2,0))))</f>
        <v>#N/A</v>
      </c>
      <c r="AV35" s="1" t="e">
        <f>VLOOKUP('Saisie immeuble'!F32,Feuil1!$Q$57:$U$70,4,FALSE)</f>
        <v>#N/A</v>
      </c>
      <c r="AW35" s="1" t="e">
        <f>VLOOKUP('Saisie immeuble'!F32,Feuil1!$Q$57:$U$70,5,FALSE)</f>
        <v>#N/A</v>
      </c>
      <c r="AX35" s="97" t="e">
        <f t="shared" si="10"/>
        <v>#N/A</v>
      </c>
    </row>
    <row r="36" spans="2:50" x14ac:dyDescent="0.3">
      <c r="B36" s="52" t="s">
        <v>23</v>
      </c>
      <c r="C36" s="1">
        <f>IF('Saisie immeuble'!D33=Feuil1!$B$4,4,IF(AND('Saisie immeuble'!D33=$B$5,('Saisie immeuble'!$C$4=Feuil1!$C$5)),5,IF(AND('Saisie immeuble'!D33=$B$5,('Saisie immeuble'!$C$4=Feuil1!$C$6)),6,IF(AND('Saisie immeuble'!D33=Feuil1!$B$7,('Saisie immeuble'!$C$4=Feuil1!$C$7)),7,IF(AND('Saisie immeuble'!D33=Feuil1!$B$7,('Saisie immeuble'!$C$4=Feuil1!$C$8)),8,0)))))</f>
        <v>0</v>
      </c>
      <c r="D36" s="90" t="e">
        <f>HLOOKUP('Saisie immeuble'!$C$3,Feuil1!$D$1:$BM$8,Feuil1!C36,FALSE)</f>
        <v>#N/A</v>
      </c>
      <c r="E36" s="1" t="e">
        <f>HLOOKUP('Saisie immeuble'!$C$3,Feuil1!$D$1:$BM$8,3,FALSE)</f>
        <v>#N/A</v>
      </c>
      <c r="F36" s="1" t="e">
        <f>IF(E36=1,450+'Saisie immeuble'!C33*6,IF(E36=2,300+'Saisie immeuble'!C33*5,150+'Saisie immeuble'!C33*3))</f>
        <v>#N/A</v>
      </c>
      <c r="G36" s="1" t="e">
        <f>IF(E36=1,1400+'Saisie immeuble'!C33*6,IF(E36=2,1100+'Saisie immeuble'!C33*6,500+'Saisie immeuble'!C33*6))</f>
        <v>#N/A</v>
      </c>
      <c r="H36" s="90">
        <f>IF('Saisie immeuble'!$C$6="oui",IF('Saisie immeuble'!D33="dernier étage",IF(Feuil1!E36=1,0.4*Feuil1!D36,IF(Feuil1!E36=2,0.35*Feuil1!D36,IF(Feuil1!E36=3,0.3*Feuil1!D36,0))),0),0)</f>
        <v>0</v>
      </c>
      <c r="I36" s="90">
        <f>IF('Saisie immeuble'!$C$7="oui",IF(AND(Feuil1!E36=1,('Saisie immeuble'!$C$4=Feuil1!$C$5)),0.3*Feuil1!D36,IF(AND(Feuil1!E36=1,('Saisie immeuble'!$C$4=Feuil1!$C$6)),0.2*Feuil1!D36,IF(AND(Feuil1!E36=2,('Saisie immeuble'!$C$4=Feuil1!$C$5)),0.25*Feuil1!D36,IF(AND(Feuil1!E36=2,('Saisie immeuble'!$C$4=Feuil1!$C$6)),0.15*Feuil1!D36,IF(AND(Feuil1!E36=3,('Saisie immeuble'!$C$4=Feuil1!$C$5)),0.2*Feuil1!D36,IF(AND(Feuil1!E36=3,('Saisie immeuble'!$C$4=Feuil1!$C$6)),0.12*Feuil1!D36)))))),0)</f>
        <v>0</v>
      </c>
      <c r="J36" s="90">
        <f>IF('Saisie immeuble'!$C$8="oui",IF(AND(Feuil1!E36=1,('Saisie immeuble'!$C$4=Feuil1!$C$5)),0.22*Feuil1!D36,IF(AND(Feuil1!E36=1,('Saisie immeuble'!$C$4=Feuil1!$C$6)),0.14*Feuil1!D36,IF(AND(Feuil1!E36=2,('Saisie immeuble'!$C$4=Feuil1!$C$5)),0.2*Feuil1!D36,IF(AND(Feuil1!E36=2,('Saisie immeuble'!$C$4=Feuil1!$C$6)),0.12*Feuil1!D36,IF(AND(Feuil1!E36=3,('Saisie immeuble'!$C$4=Feuil1!$C$5)),0.16*Feuil1!D36,IF(AND(Feuil1!E36=3,('Saisie immeuble'!$C$4=Feuil1!$C$6)),0.1*Feuil1!D36)))))),0)</f>
        <v>0</v>
      </c>
      <c r="K36" s="90">
        <f>IF('Saisie immeuble'!$F$7="oui",IF('Saisie immeuble'!D33="rez de chaussée",IF(Feuil1!E36=1,0.2*Feuil1!D36,IF(Feuil1!E36=2,0.16*Feuil1!D36,IF(Feuil1!E36=3,0.12*Feuil1!D36,0))),0),0)</f>
        <v>0</v>
      </c>
      <c r="L36" s="1">
        <f>IF('Saisie immeuble'!C33&gt;0,IF('Saisie immeuble'!C33&gt;57,('Saisie immeuble'!C33-57)*55,('Saisie immeuble'!C33-57)*35),0)</f>
        <v>0</v>
      </c>
      <c r="M36" s="1">
        <f>IF('Saisie immeuble'!C33&gt;0,IF('Saisie immeuble'!$H$7=Feuil1!$B$78,IF(Feuil1!E36=1,700,IF(Feuil1!E36=2,550,400)),IF('Saisie immeuble'!$H$7=Feuil1!$B$79,IF(Feuil1!E36=1,350,IF(Feuil1!E36=2,275,200)),0))*(1-((57-'Saisie immeuble'!C33)/100)),0)</f>
        <v>0</v>
      </c>
      <c r="N36" s="90" t="e">
        <f>D36-IF('Saisie immeuble'!G33=Feuil1!$B$68,Feuil1!F36,IF('Saisie immeuble'!G33=Feuil1!$B$69,G36,0))-H36-I36-J36+L36-K36+M36</f>
        <v>#N/A</v>
      </c>
      <c r="O36" s="90" t="e">
        <f t="shared" si="6"/>
        <v>#N/A</v>
      </c>
      <c r="P36" s="90" t="e">
        <f>IF('Saisie immeuble'!$C$5="individuel",N36/AJ36,O36/AJ36)</f>
        <v>#N/A</v>
      </c>
      <c r="Q36" s="99" t="e">
        <f t="shared" si="7"/>
        <v>#N/A</v>
      </c>
      <c r="R36" s="52" t="e">
        <f>VLOOKUP('Saisie immeuble'!E33,Feuil1!$G$58:$I$75,3,0)</f>
        <v>#N/A</v>
      </c>
      <c r="S36" s="1" t="e">
        <f>VLOOKUP('Saisie immeuble'!F33,Feuil1!$Q$57:$U$70,5,FALSE)</f>
        <v>#N/A</v>
      </c>
      <c r="T36" s="1" t="e">
        <f>IF(AND(R36&lt;&gt;"élec",(S36&lt;&gt;"élec"),('Saisie immeuble'!C33&lt;40)),'Référence&amp;tarifs'!$A$6,IF(AND(R36="élec",(S36="élec")),'Référence&amp;tarifs'!$A$8,'Référence&amp;tarifs'!$A$7))</f>
        <v>#N/A</v>
      </c>
      <c r="U36" s="1" t="e">
        <f>VLOOKUP(T36,'Référence&amp;tarifs'!$A$6:$C$10,2,FALSE)</f>
        <v>#N/A</v>
      </c>
      <c r="V36" s="1" t="e">
        <f>VLOOKUP(T36,'Référence&amp;tarifs'!$A$6:$C$10,3,FALSE)</f>
        <v>#N/A</v>
      </c>
      <c r="W36" s="1"/>
      <c r="X36" s="51" t="e">
        <f>IF('Résultat immeuble'!S24&lt;1.1,HLOOKUP(Feuil1!T36,'Référence&amp;tarifs'!#REF!,2,FALSE),IF('Résultat immeuble'!S24&gt;1.9,HLOOKUP(Feuil1!T36,'Référence&amp;tarifs'!#REF!,4,FALSE),HLOOKUP(Feuil1!T36,'Référence&amp;tarifs'!#REF!,3,FALSE)))</f>
        <v>#N/A</v>
      </c>
      <c r="Y36" s="52" t="e">
        <f>IF(R36="gaz",N36,0)+IF(S36="gaz",AT36,0)+IF('Saisie immeuble'!H33="gaz de ville",Feuil1!AH36,0)</f>
        <v>#N/A</v>
      </c>
      <c r="Z36" s="1" t="e">
        <f>IF(Y36&lt;1000,'Référence&amp;tarifs'!$A$16,IF(Y36&gt;5999,'Référence&amp;tarifs'!$A$18,'Référence&amp;tarifs'!$A$17))</f>
        <v>#N/A</v>
      </c>
      <c r="AA36" s="1" t="e">
        <f>VLOOKUP(Z36,'Référence&amp;tarifs'!$A$16:$C$18,2,FALSE)</f>
        <v>#N/A</v>
      </c>
      <c r="AB36" s="1" t="e">
        <f>VLOOKUP(Z36,'Référence&amp;tarifs'!$A$16:$C$18,3,FALSE)</f>
        <v>#N/A</v>
      </c>
      <c r="AC36" s="58" t="b">
        <f>IF('Saisie immeuble'!$C$5="individuel",IF('Résultat immeuble'!S24=1,HLOOKUP(Feuil1!Z36,'Référence&amp;tarifs'!#REF!,2,FALSE),IF('Résultat immeuble'!S24&gt;1.9,HLOOKUP(Feuil1!Z36,'Référence&amp;tarifs'!#REF!,4,FALSE),HLOOKUP(Feuil1!Z36,'Référence&amp;tarifs'!#REF!,3,FALSE))),IF('Saisie immeuble'!$C$5="collectif",IF('Résultat immeuble'!S24=1,'Référence&amp;tarifs'!#REF!,IF('Résultat immeuble'!S24&gt;1.9,'Référence&amp;tarifs'!#REF!,IF(AND('Résultat immeuble'!S24&lt;2,('Résultat immeuble'!S24&gt;1)),'Référence&amp;tarifs'!#REF!,0)))))</f>
        <v>0</v>
      </c>
      <c r="AD36" s="109">
        <f>IF('Saisie immeuble'!I33+'Saisie immeuble'!J33&gt;0,18*'Saisie immeuble'!C33+3.5*('Saisie immeuble'!I33+'Saisie immeuble'!J33-1)*'Saisie immeuble'!C33,0)</f>
        <v>0</v>
      </c>
      <c r="AE36" s="110"/>
      <c r="AF36" s="111"/>
      <c r="AG36" s="97" t="e">
        <f t="shared" si="8"/>
        <v>#N/A</v>
      </c>
      <c r="AH36" s="52">
        <f>IF('Saisie immeuble'!I33+'Saisie immeuble'!J33&gt;0,350+80*('Saisie immeuble'!I33+'Saisie immeuble'!J33-1),0)</f>
        <v>0</v>
      </c>
      <c r="AI36" s="97" t="e">
        <f>IF('Saisie immeuble'!H33="gaz de ville",Feuil1!AB36,IF('Saisie immeuble'!H33=$B$72,V36,0))*Feuil1!AH36+IF(AND(R36&lt;&gt;"gaz",(S36&lt;&gt;"gaz"),('Saisie immeuble'!H33="gaz de ville")),Feuil1!AA36,0)</f>
        <v>#N/A</v>
      </c>
      <c r="AJ36" s="52" t="e">
        <f>VLOOKUP('Saisie immeuble'!E33,Feuil1!$G$58:$I$75,2,FALSE)</f>
        <v>#N/A</v>
      </c>
      <c r="AK36" s="1" t="e">
        <f>VLOOKUP('Saisie immeuble'!E33,Feuil1!$G$58:$I$75,3,FALSE)</f>
        <v>#N/A</v>
      </c>
      <c r="AL36" s="98" t="e">
        <f>IF(AK36="élec",V36,IF(AK36="gaz",AB36,IF(AK36="fioul",'Référence&amp;tarifs'!$B$25,IF(AK36="bois buche",'Référence&amp;tarifs'!$B$23,IF(AK36="bois granulés",'Référence&amp;tarifs'!$B$24,IF(AK36=I80,0.8*('Référence&amp;tarifs'!$B$23+'Référence&amp;tarifs'!B38)/2+0.2*Feuil1!AB36,0))))))</f>
        <v>#N/A</v>
      </c>
      <c r="AM36" s="52">
        <f>IF('Saisie immeuble'!I33+'Saisie immeuble'!J33&gt;0,Feuil1!$AM$13+2*('Saisie immeuble'!I33+'Saisie immeuble'!J33-1),0)</f>
        <v>0</v>
      </c>
      <c r="AN36" s="1">
        <f>IF('Saisie immeuble'!I33+'Saisie immeuble'!J33&gt;0,Feuil1!$AN$13*('Saisie immeuble'!I33+'Saisie immeuble'!J33),0)</f>
        <v>0</v>
      </c>
      <c r="AO36" s="1">
        <f>IF('Saisie immeuble'!I33+'Saisie immeuble'!J33&gt;0,Feuil1!$AO$13+3*('Saisie immeuble'!I33+'Saisie immeuble'!J33-1),0)</f>
        <v>0</v>
      </c>
      <c r="AP36" s="1">
        <f>IF('Saisie immeuble'!I33+'Saisie immeuble'!J33&gt;0,Feuil1!$AP$13+2*('Saisie immeuble'!I33+'Saisie immeuble'!J33-1),0)</f>
        <v>0</v>
      </c>
      <c r="AQ36" s="1">
        <f>IF('Saisie immeuble'!I33+'Saisie immeuble'!J33&gt;0,Feuil1!$AQ$13*('Saisie immeuble'!I33+'Saisie immeuble'!J33),0)</f>
        <v>0</v>
      </c>
      <c r="AR36" s="1">
        <f t="shared" si="9"/>
        <v>0</v>
      </c>
      <c r="AS36" s="99" t="e">
        <f>AR36*'Saisie immeuble'!$F$8+IF(AND(R36&lt;&gt;"gaz",(S36="gaz")),AA36,0)</f>
        <v>#N/A</v>
      </c>
      <c r="AT36" s="52">
        <f>IF('Saisie immeuble'!I33+'Saisie immeuble'!J33&gt;0,1100+700*('Saisie immeuble'!I33+'Saisie immeuble'!J33-1),0)</f>
        <v>0</v>
      </c>
      <c r="AU36" s="3" t="e">
        <f>IF(AW36="élec",Feuil1!V36,IF(AW36="gaz",Feuil1!AB36,IF(AW36="fioul",'Référence&amp;tarifs'!$B$25,IF(AW36="bois",('Référence&amp;tarifs'!$B$23+'Référence&amp;tarifs'!$B$24)/2,0))))</f>
        <v>#N/A</v>
      </c>
      <c r="AV36" s="1" t="e">
        <f>VLOOKUP('Saisie immeuble'!F33,Feuil1!$Q$57:$U$70,4,FALSE)</f>
        <v>#N/A</v>
      </c>
      <c r="AW36" s="1" t="e">
        <f>VLOOKUP('Saisie immeuble'!F33,Feuil1!$Q$57:$U$70,5,FALSE)</f>
        <v>#N/A</v>
      </c>
      <c r="AX36" s="97" t="e">
        <f t="shared" si="10"/>
        <v>#N/A</v>
      </c>
    </row>
    <row r="37" spans="2:50" x14ac:dyDescent="0.3">
      <c r="B37" s="52" t="s">
        <v>24</v>
      </c>
      <c r="C37" s="1">
        <f>IF('Saisie immeuble'!D34=Feuil1!$B$4,4,IF(AND('Saisie immeuble'!D34=$B$5,('Saisie immeuble'!$C$4=Feuil1!$C$5)),5,IF(AND('Saisie immeuble'!D34=$B$5,('Saisie immeuble'!$C$4=Feuil1!$C$6)),6,IF(AND('Saisie immeuble'!D34=Feuil1!$B$7,('Saisie immeuble'!$C$4=Feuil1!$C$7)),7,IF(AND('Saisie immeuble'!D34=Feuil1!$B$7,('Saisie immeuble'!$C$4=Feuil1!$C$8)),8,0)))))</f>
        <v>0</v>
      </c>
      <c r="D37" s="90" t="e">
        <f>HLOOKUP('Saisie immeuble'!$C$3,Feuil1!$D$1:$BM$8,Feuil1!C37,FALSE)</f>
        <v>#N/A</v>
      </c>
      <c r="E37" s="1" t="e">
        <f>HLOOKUP('Saisie immeuble'!$C$3,Feuil1!$D$1:$BM$8,3,FALSE)</f>
        <v>#N/A</v>
      </c>
      <c r="F37" s="1" t="e">
        <f>IF(E37=1,450+'Saisie immeuble'!C34*6,IF(E37=2,300+'Saisie immeuble'!C34*5,150+'Saisie immeuble'!C34*3))</f>
        <v>#N/A</v>
      </c>
      <c r="G37" s="1" t="e">
        <f>IF(E37=1,1400+'Saisie immeuble'!C34*6,IF(E37=2,1100+'Saisie immeuble'!C34*6,500+'Saisie immeuble'!C34*6))</f>
        <v>#N/A</v>
      </c>
      <c r="H37" s="90">
        <f>IF('Saisie immeuble'!$C$6="oui",IF('Saisie immeuble'!D34="dernier étage",IF(Feuil1!E37=1,0.4*Feuil1!D37,IF(Feuil1!E37=2,0.35*Feuil1!D37,IF(Feuil1!E37=3,0.3*Feuil1!D37,0))),0),0)</f>
        <v>0</v>
      </c>
      <c r="I37" s="90">
        <f>IF('Saisie immeuble'!$C$7="oui",IF(AND(Feuil1!E37=1,('Saisie immeuble'!$C$4=Feuil1!$C$5)),0.3*Feuil1!D37,IF(AND(Feuil1!E37=1,('Saisie immeuble'!$C$4=Feuil1!$C$6)),0.2*Feuil1!D37,IF(AND(Feuil1!E37=2,('Saisie immeuble'!$C$4=Feuil1!$C$5)),0.25*Feuil1!D37,IF(AND(Feuil1!E37=2,('Saisie immeuble'!$C$4=Feuil1!$C$6)),0.15*Feuil1!D37,IF(AND(Feuil1!E37=3,('Saisie immeuble'!$C$4=Feuil1!$C$5)),0.2*Feuil1!D37,IF(AND(Feuil1!E37=3,('Saisie immeuble'!$C$4=Feuil1!$C$6)),0.12*Feuil1!D37)))))),0)</f>
        <v>0</v>
      </c>
      <c r="J37" s="90">
        <f>IF('Saisie immeuble'!$C$8="oui",IF(AND(Feuil1!E37=1,('Saisie immeuble'!$C$4=Feuil1!$C$5)),0.22*Feuil1!D37,IF(AND(Feuil1!E37=1,('Saisie immeuble'!$C$4=Feuil1!$C$6)),0.14*Feuil1!D37,IF(AND(Feuil1!E37=2,('Saisie immeuble'!$C$4=Feuil1!$C$5)),0.2*Feuil1!D37,IF(AND(Feuil1!E37=2,('Saisie immeuble'!$C$4=Feuil1!$C$6)),0.12*Feuil1!D37,IF(AND(Feuil1!E37=3,('Saisie immeuble'!$C$4=Feuil1!$C$5)),0.16*Feuil1!D37,IF(AND(Feuil1!E37=3,('Saisie immeuble'!$C$4=Feuil1!$C$6)),0.1*Feuil1!D37)))))),0)</f>
        <v>0</v>
      </c>
      <c r="K37" s="90">
        <f>IF('Saisie immeuble'!$F$7="oui",IF('Saisie immeuble'!D34="rez de chaussée",IF(Feuil1!E37=1,0.2*Feuil1!D37,IF(Feuil1!E37=2,0.16*Feuil1!D37,IF(Feuil1!E37=3,0.12*Feuil1!D37,0))),0),0)</f>
        <v>0</v>
      </c>
      <c r="L37" s="1">
        <f>IF('Saisie immeuble'!C34&gt;0,IF('Saisie immeuble'!C34&gt;57,('Saisie immeuble'!C34-57)*55,('Saisie immeuble'!C34-57)*35),0)</f>
        <v>0</v>
      </c>
      <c r="M37" s="1">
        <f>IF('Saisie immeuble'!C34&gt;0,IF('Saisie immeuble'!$H$7=Feuil1!$B$78,IF(Feuil1!E37=1,700,IF(Feuil1!E37=2,550,400)),IF('Saisie immeuble'!$H$7=Feuil1!$B$79,IF(Feuil1!E37=1,350,IF(Feuil1!E37=2,275,200)),0))*(1-((57-'Saisie immeuble'!C34)/100)),0)</f>
        <v>0</v>
      </c>
      <c r="N37" s="90" t="e">
        <f>D37-IF('Saisie immeuble'!G34=Feuil1!$B$68,Feuil1!F37,IF('Saisie immeuble'!G34=Feuil1!$B$69,G37,0))-H37-I37-J37+L37-K37+M37</f>
        <v>#N/A</v>
      </c>
      <c r="O37" s="90" t="e">
        <f t="shared" si="6"/>
        <v>#N/A</v>
      </c>
      <c r="P37" s="90" t="e">
        <f>IF('Saisie immeuble'!$C$5="individuel",N37/AJ37,O37/AJ37)</f>
        <v>#N/A</v>
      </c>
      <c r="Q37" s="99" t="e">
        <f t="shared" si="7"/>
        <v>#N/A</v>
      </c>
      <c r="R37" s="52" t="e">
        <f>VLOOKUP('Saisie immeuble'!E34,Feuil1!$G$58:$I$75,3,0)</f>
        <v>#N/A</v>
      </c>
      <c r="S37" s="1" t="e">
        <f>VLOOKUP('Saisie immeuble'!F34,Feuil1!$Q$57:$U$70,5,FALSE)</f>
        <v>#N/A</v>
      </c>
      <c r="T37" s="1" t="e">
        <f>IF(AND(R37&lt;&gt;"élec",(S37&lt;&gt;"élec"),('Saisie immeuble'!C34&lt;40)),'Référence&amp;tarifs'!$A$6,IF(AND(R37="élec",(S37="élec")),'Référence&amp;tarifs'!$A$8,'Référence&amp;tarifs'!$A$7))</f>
        <v>#N/A</v>
      </c>
      <c r="U37" s="1" t="e">
        <f>VLOOKUP(T37,'Référence&amp;tarifs'!$A$6:$C$10,2,FALSE)</f>
        <v>#N/A</v>
      </c>
      <c r="V37" s="1" t="e">
        <f>VLOOKUP(T37,'Référence&amp;tarifs'!$A$6:$C$10,3,FALSE)</f>
        <v>#N/A</v>
      </c>
      <c r="W37" s="1"/>
      <c r="X37" s="51" t="e">
        <f>IF('Résultat immeuble'!#REF!&lt;1.1,HLOOKUP(Feuil1!T37,'Référence&amp;tarifs'!#REF!,2,FALSE),IF('Résultat immeuble'!#REF!&gt;1.9,HLOOKUP(Feuil1!T37,'Référence&amp;tarifs'!#REF!,4,FALSE),HLOOKUP(Feuil1!T37,'Référence&amp;tarifs'!#REF!,3,FALSE)))</f>
        <v>#REF!</v>
      </c>
      <c r="Y37" s="52" t="e">
        <f>IF(R37="gaz",N37,0)+IF(S37="gaz",AT37,0)+IF('Saisie immeuble'!H34="gaz de ville",Feuil1!AH37,0)</f>
        <v>#N/A</v>
      </c>
      <c r="Z37" s="1" t="e">
        <f>IF(Y37&lt;1000,'Référence&amp;tarifs'!$A$16,IF(Y37&gt;5999,'Référence&amp;tarifs'!$A$18,'Référence&amp;tarifs'!$A$17))</f>
        <v>#N/A</v>
      </c>
      <c r="AA37" s="1" t="e">
        <f>VLOOKUP(Z37,'Référence&amp;tarifs'!$A$16:$C$18,2,FALSE)</f>
        <v>#N/A</v>
      </c>
      <c r="AB37" s="1" t="e">
        <f>VLOOKUP(Z37,'Référence&amp;tarifs'!$A$16:$C$18,3,FALSE)</f>
        <v>#N/A</v>
      </c>
      <c r="AC37" s="58" t="b">
        <f>IF('Saisie immeuble'!$C$5="individuel",IF('Résultat immeuble'!#REF!=1,HLOOKUP(Feuil1!Z37,'Référence&amp;tarifs'!#REF!,2,FALSE),IF('Résultat immeuble'!#REF!&gt;1.9,HLOOKUP(Feuil1!Z37,'Référence&amp;tarifs'!#REF!,4,FALSE),HLOOKUP(Feuil1!Z37,'Référence&amp;tarifs'!#REF!,3,FALSE))),IF('Saisie immeuble'!$C$5="collectif",IF('Résultat immeuble'!#REF!=1,'Référence&amp;tarifs'!#REF!,IF('Résultat immeuble'!#REF!&gt;1.9,'Référence&amp;tarifs'!#REF!,IF(AND('Résultat immeuble'!#REF!&lt;2,('Résultat immeuble'!#REF!&gt;1)),'Référence&amp;tarifs'!#REF!,0)))))</f>
        <v>0</v>
      </c>
      <c r="AD37" s="109">
        <f>IF('Saisie immeuble'!I34+'Saisie immeuble'!J34&gt;0,18*'Saisie immeuble'!C34+3.5*('Saisie immeuble'!I34+'Saisie immeuble'!J34-1)*'Saisie immeuble'!C34,0)</f>
        <v>0</v>
      </c>
      <c r="AE37" s="110"/>
      <c r="AF37" s="111"/>
      <c r="AG37" s="97" t="e">
        <f t="shared" si="8"/>
        <v>#N/A</v>
      </c>
      <c r="AH37" s="52">
        <f>IF('Saisie immeuble'!I34+'Saisie immeuble'!J34&gt;0,350+80*('Saisie immeuble'!I34+'Saisie immeuble'!J34-1),0)</f>
        <v>0</v>
      </c>
      <c r="AI37" s="97" t="e">
        <f>IF('Saisie immeuble'!H34="gaz de ville",Feuil1!AB37,IF('Saisie immeuble'!H34=$B$72,V37,0))*Feuil1!AH37+IF(AND(R37&lt;&gt;"gaz",(S37&lt;&gt;"gaz"),('Saisie immeuble'!H34="gaz de ville")),Feuil1!AA37,0)</f>
        <v>#N/A</v>
      </c>
      <c r="AJ37" s="52" t="e">
        <f>VLOOKUP('Saisie immeuble'!E34,Feuil1!$G$58:$I$75,2,FALSE)</f>
        <v>#N/A</v>
      </c>
      <c r="AK37" s="1" t="e">
        <f>VLOOKUP('Saisie immeuble'!E34,Feuil1!$G$58:$I$75,3,FALSE)</f>
        <v>#N/A</v>
      </c>
      <c r="AL37" s="98" t="e">
        <f>IF(AK37="élec",V37,IF(AK37="gaz",AB37,IF(AK37="fioul",'Référence&amp;tarifs'!$B$25,IF(AK37="bois buche",'Référence&amp;tarifs'!$B$23,IF(AK37="bois granulés",'Référence&amp;tarifs'!$B$24,IF(AK37=I81,0.8*('Référence&amp;tarifs'!$B$23+'Référence&amp;tarifs'!B39)/2+0.2*Feuil1!AB37,0))))))</f>
        <v>#N/A</v>
      </c>
      <c r="AM37" s="52">
        <f>IF('Saisie immeuble'!I34+'Saisie immeuble'!J34&gt;0,Feuil1!$AM$13+2*('Saisie immeuble'!I34+'Saisie immeuble'!J34-1),0)</f>
        <v>0</v>
      </c>
      <c r="AN37" s="1">
        <f>IF('Saisie immeuble'!I34+'Saisie immeuble'!J34&gt;0,Feuil1!$AN$13*('Saisie immeuble'!I34+'Saisie immeuble'!J34),0)</f>
        <v>0</v>
      </c>
      <c r="AO37" s="1">
        <f>IF('Saisie immeuble'!I34+'Saisie immeuble'!J34&gt;0,Feuil1!$AO$13+3*('Saisie immeuble'!I34+'Saisie immeuble'!J34-1),0)</f>
        <v>0</v>
      </c>
      <c r="AP37" s="1">
        <f>IF('Saisie immeuble'!I34+'Saisie immeuble'!J34&gt;0,Feuil1!$AP$13+2*('Saisie immeuble'!I34+'Saisie immeuble'!J34-1),0)</f>
        <v>0</v>
      </c>
      <c r="AQ37" s="1">
        <f>IF('Saisie immeuble'!I34+'Saisie immeuble'!J34&gt;0,Feuil1!$AQ$13*('Saisie immeuble'!I34+'Saisie immeuble'!J34),0)</f>
        <v>0</v>
      </c>
      <c r="AR37" s="1">
        <f t="shared" si="9"/>
        <v>0</v>
      </c>
      <c r="AS37" s="99" t="e">
        <f>AR37*'Saisie immeuble'!$F$8+IF(AND(R37&lt;&gt;"gaz",(S37="gaz")),AA37,0)</f>
        <v>#N/A</v>
      </c>
      <c r="AT37" s="52">
        <f>IF('Saisie immeuble'!I34+'Saisie immeuble'!J34&gt;0,1100+700*('Saisie immeuble'!I34+'Saisie immeuble'!J34-1),0)</f>
        <v>0</v>
      </c>
      <c r="AU37" s="3" t="e">
        <f>IF(AW37="élec",Feuil1!V37,IF(AW37="gaz",Feuil1!AB37,IF(AW37="fioul",'Référence&amp;tarifs'!$B$25,IF(AW37="bois",('Référence&amp;tarifs'!$B$23+'Référence&amp;tarifs'!$B$24)/2,0))))</f>
        <v>#N/A</v>
      </c>
      <c r="AV37" s="1" t="e">
        <f>VLOOKUP('Saisie immeuble'!F34,Feuil1!$Q$57:$U$70,4,FALSE)</f>
        <v>#N/A</v>
      </c>
      <c r="AW37" s="1" t="e">
        <f>VLOOKUP('Saisie immeuble'!F34,Feuil1!$Q$57:$U$70,5,FALSE)</f>
        <v>#N/A</v>
      </c>
      <c r="AX37" s="97" t="e">
        <f t="shared" si="10"/>
        <v>#N/A</v>
      </c>
    </row>
    <row r="38" spans="2:50" x14ac:dyDescent="0.3">
      <c r="B38" s="52" t="s">
        <v>233</v>
      </c>
      <c r="C38" s="1">
        <f>IF('Saisie immeuble'!D35=Feuil1!$B$4,4,IF(AND('Saisie immeuble'!D35=$B$5,('Saisie immeuble'!$C$4=Feuil1!$C$5)),5,IF(AND('Saisie immeuble'!D35=$B$5,('Saisie immeuble'!$C$4=Feuil1!$C$6)),6,IF(AND('Saisie immeuble'!D35=Feuil1!$B$7,('Saisie immeuble'!$C$4=Feuil1!$C$7)),7,IF(AND('Saisie immeuble'!D35=Feuil1!$B$7,('Saisie immeuble'!$C$4=Feuil1!$C$8)),8,0)))))</f>
        <v>0</v>
      </c>
      <c r="D38" s="90" t="e">
        <f>HLOOKUP('Saisie immeuble'!$C$3,Feuil1!$D$1:$BM$8,Feuil1!C38,FALSE)</f>
        <v>#N/A</v>
      </c>
      <c r="E38" s="1" t="e">
        <f>HLOOKUP('Saisie immeuble'!$C$3,Feuil1!$D$1:$BM$8,3,FALSE)</f>
        <v>#N/A</v>
      </c>
      <c r="F38" s="1" t="e">
        <f>IF(E38=1,450+'Saisie immeuble'!C35*6,IF(E38=2,300+'Saisie immeuble'!C35*5,150+'Saisie immeuble'!C35*3))</f>
        <v>#N/A</v>
      </c>
      <c r="G38" s="1" t="e">
        <f>IF(E38=1,1400+'Saisie immeuble'!C35*6,IF(E38=2,1100+'Saisie immeuble'!C35*6,500+'Saisie immeuble'!C35*6))</f>
        <v>#N/A</v>
      </c>
      <c r="H38" s="90">
        <f>IF('Saisie immeuble'!$C$6="oui",IF('Saisie immeuble'!D35="dernier étage",IF(Feuil1!E38=1,0.4*Feuil1!D38,IF(Feuil1!E38=2,0.35*Feuil1!D38,IF(Feuil1!E38=3,0.3*Feuil1!D38,0))),0),0)</f>
        <v>0</v>
      </c>
      <c r="I38" s="90">
        <f>IF('Saisie immeuble'!$C$7="oui",IF(AND(Feuil1!E38=1,('Saisie immeuble'!$C$4=Feuil1!$C$5)),0.3*Feuil1!D38,IF(AND(Feuil1!E38=1,('Saisie immeuble'!$C$4=Feuil1!$C$6)),0.2*Feuil1!D38,IF(AND(Feuil1!E38=2,('Saisie immeuble'!$C$4=Feuil1!$C$5)),0.25*Feuil1!D38,IF(AND(Feuil1!E38=2,('Saisie immeuble'!$C$4=Feuil1!$C$6)),0.15*Feuil1!D38,IF(AND(Feuil1!E38=3,('Saisie immeuble'!$C$4=Feuil1!$C$5)),0.2*Feuil1!D38,IF(AND(Feuil1!E38=3,('Saisie immeuble'!$C$4=Feuil1!$C$6)),0.12*Feuil1!D38)))))),0)</f>
        <v>0</v>
      </c>
      <c r="J38" s="90">
        <f>IF('Saisie immeuble'!$C$8="oui",IF(AND(Feuil1!E38=1,('Saisie immeuble'!$C$4=Feuil1!$C$5)),0.22*Feuil1!D38,IF(AND(Feuil1!E38=1,('Saisie immeuble'!$C$4=Feuil1!$C$6)),0.14*Feuil1!D38,IF(AND(Feuil1!E38=2,('Saisie immeuble'!$C$4=Feuil1!$C$5)),0.2*Feuil1!D38,IF(AND(Feuil1!E38=2,('Saisie immeuble'!$C$4=Feuil1!$C$6)),0.12*Feuil1!D38,IF(AND(Feuil1!E38=3,('Saisie immeuble'!$C$4=Feuil1!$C$5)),0.16*Feuil1!D38,IF(AND(Feuil1!E38=3,('Saisie immeuble'!$C$4=Feuil1!$C$6)),0.1*Feuil1!D38)))))),0)</f>
        <v>0</v>
      </c>
      <c r="K38" s="90">
        <f>IF('Saisie immeuble'!$F$7="oui",IF('Saisie immeuble'!D35="rez de chaussée",IF(Feuil1!E38=1,0.2*Feuil1!D38,IF(Feuil1!E38=2,0.16*Feuil1!D38,IF(Feuil1!E38=3,0.12*Feuil1!D38,0))),0),0)</f>
        <v>0</v>
      </c>
      <c r="L38" s="1">
        <f>IF('Saisie immeuble'!C35&gt;0,IF('Saisie immeuble'!C35&gt;57,('Saisie immeuble'!C35-57)*55,('Saisie immeuble'!C35-57)*35),0)</f>
        <v>0</v>
      </c>
      <c r="M38" s="1">
        <f>IF('Saisie immeuble'!C35&gt;0,IF('Saisie immeuble'!$H$7=Feuil1!$B$78,IF(Feuil1!E38=1,700,IF(Feuil1!E38=2,550,400)),IF('Saisie immeuble'!$H$7=Feuil1!$B$79,IF(Feuil1!E38=1,350,IF(Feuil1!E38=2,275,200)),0))*(1-((57-'Saisie immeuble'!C35)/100)),0)</f>
        <v>0</v>
      </c>
      <c r="N38" s="90" t="e">
        <f>D38-IF('Saisie immeuble'!G35=Feuil1!$B$68,Feuil1!F38,IF('Saisie immeuble'!G35=Feuil1!$B$69,G38,0))-H38-I38-J38+L38-K38+M38</f>
        <v>#N/A</v>
      </c>
      <c r="O38" s="100" t="e">
        <f t="shared" si="6"/>
        <v>#N/A</v>
      </c>
      <c r="P38" s="90" t="e">
        <f>IF('Saisie immeuble'!$C$5="individuel",N38/AJ38,O38/AJ38)</f>
        <v>#N/A</v>
      </c>
      <c r="Q38" s="99" t="e">
        <f t="shared" si="7"/>
        <v>#N/A</v>
      </c>
      <c r="R38" s="52" t="e">
        <f>VLOOKUP('Saisie immeuble'!E35,Feuil1!$G$58:$I$75,3,0)</f>
        <v>#N/A</v>
      </c>
      <c r="S38" s="1" t="e">
        <f>VLOOKUP('Saisie immeuble'!F35,Feuil1!$Q$57:$U$70,5,FALSE)</f>
        <v>#N/A</v>
      </c>
      <c r="T38" s="1" t="e">
        <f>IF(AND(R38&lt;&gt;"élec",(S38&lt;&gt;"élec"),('Saisie immeuble'!C35&lt;40)),'Référence&amp;tarifs'!$A$6,IF(AND(R38="élec",(S38="élec")),'Référence&amp;tarifs'!$A$8,'Référence&amp;tarifs'!$A$7))</f>
        <v>#N/A</v>
      </c>
      <c r="U38" s="1" t="e">
        <f>VLOOKUP(T38,'Référence&amp;tarifs'!$A$6:$C$10,2,FALSE)</f>
        <v>#N/A</v>
      </c>
      <c r="V38" s="1" t="e">
        <f>VLOOKUP(T38,'Référence&amp;tarifs'!$A$6:$C$10,3,FALSE)</f>
        <v>#N/A</v>
      </c>
      <c r="W38" s="1"/>
      <c r="X38" s="51" t="e">
        <f>IF('Résultat immeuble'!S25&lt;1.1,HLOOKUP(Feuil1!T38,'Référence&amp;tarifs'!#REF!,2,FALSE),IF('Résultat immeuble'!S25&gt;1.9,HLOOKUP(Feuil1!T38,'Référence&amp;tarifs'!#REF!,4,FALSE),HLOOKUP(Feuil1!T38,'Référence&amp;tarifs'!#REF!,3,FALSE)))</f>
        <v>#N/A</v>
      </c>
      <c r="Y38" s="52" t="e">
        <f>IF(R38="gaz",N38,0)+IF(S38="gaz",AT38,0)+IF('Saisie immeuble'!H35="gaz de ville",Feuil1!AH38,0)</f>
        <v>#N/A</v>
      </c>
      <c r="Z38" s="1" t="e">
        <f>IF(Y38&lt;1000,'Référence&amp;tarifs'!$A$16,IF(Y38&gt;5999,'Référence&amp;tarifs'!$A$18,'Référence&amp;tarifs'!$A$17))</f>
        <v>#N/A</v>
      </c>
      <c r="AA38" s="1" t="e">
        <f>VLOOKUP(Z38,'Référence&amp;tarifs'!$A$16:$C$18,2,FALSE)</f>
        <v>#N/A</v>
      </c>
      <c r="AB38" s="1" t="e">
        <f>VLOOKUP(Z38,'Référence&amp;tarifs'!$A$16:$C$18,3,FALSE)</f>
        <v>#N/A</v>
      </c>
      <c r="AC38" s="58" t="b">
        <f>IF('Saisie immeuble'!$C$5="individuel",IF('Résultat immeuble'!S25=1,HLOOKUP(Feuil1!Z38,'Référence&amp;tarifs'!#REF!,2,FALSE),IF('Résultat immeuble'!S25&gt;1.9,HLOOKUP(Feuil1!Z38,'Référence&amp;tarifs'!#REF!,4,FALSE),HLOOKUP(Feuil1!Z38,'Référence&amp;tarifs'!#REF!,3,FALSE))),IF('Saisie immeuble'!$C$5="collectif",IF('Résultat immeuble'!S25=1,'Référence&amp;tarifs'!#REF!,IF('Résultat immeuble'!S25&gt;1.9,'Référence&amp;tarifs'!#REF!,IF(AND('Résultat immeuble'!S25&lt;2,('Résultat immeuble'!S25&gt;1)),'Référence&amp;tarifs'!#REF!,0)))))</f>
        <v>0</v>
      </c>
      <c r="AD38" s="109">
        <f>IF('Saisie immeuble'!I35+'Saisie immeuble'!J35&gt;0,18*'Saisie immeuble'!C35+3.5*('Saisie immeuble'!I35+'Saisie immeuble'!J35-1)*'Saisie immeuble'!C35,0)</f>
        <v>0</v>
      </c>
      <c r="AE38" s="110"/>
      <c r="AF38" s="111"/>
      <c r="AG38" s="97" t="e">
        <f t="shared" si="8"/>
        <v>#N/A</v>
      </c>
      <c r="AH38" s="52">
        <f>IF('Saisie immeuble'!I35+'Saisie immeuble'!J35&gt;0,350+80*('Saisie immeuble'!I35+'Saisie immeuble'!J35-1),0)</f>
        <v>0</v>
      </c>
      <c r="AI38" s="97" t="e">
        <f>IF('Saisie immeuble'!H35="gaz de ville",Feuil1!AB38,IF('Saisie immeuble'!H35=$B$72,V38,0))*Feuil1!AH38+IF(AND(R38&lt;&gt;"gaz",(S38&lt;&gt;"gaz"),('Saisie immeuble'!H35="gaz de ville")),Feuil1!AA38,0)</f>
        <v>#N/A</v>
      </c>
      <c r="AJ38" s="52" t="e">
        <f>VLOOKUP('Saisie immeuble'!E35,Feuil1!$G$58:$I$75,2,FALSE)</f>
        <v>#N/A</v>
      </c>
      <c r="AK38" s="1" t="e">
        <f>VLOOKUP('Saisie immeuble'!E35,Feuil1!$G$58:$I$75,3,FALSE)</f>
        <v>#N/A</v>
      </c>
      <c r="AL38" s="98" t="e">
        <f>IF(AK38="élec",V38,IF(AK38="gaz",AB38,IF(AK38="fioul",'Référence&amp;tarifs'!$B$25,IF(AK38="bois buche",'Référence&amp;tarifs'!$B$23,IF(AK38="bois granulés",'Référence&amp;tarifs'!$B$24,IF(AK38=I82,0.8*('Référence&amp;tarifs'!$B$23+'Référence&amp;tarifs'!B40)/2+0.2*Feuil1!AB38,0))))))</f>
        <v>#N/A</v>
      </c>
      <c r="AM38" s="52">
        <f>IF('Saisie immeuble'!I35+'Saisie immeuble'!J35&gt;0,Feuil1!$AM$13+2*('Saisie immeuble'!I35+'Saisie immeuble'!J35-1),0)</f>
        <v>0</v>
      </c>
      <c r="AN38" s="1">
        <f>IF('Saisie immeuble'!I35+'Saisie immeuble'!J35&gt;0,Feuil1!$AN$13*('Saisie immeuble'!I35+'Saisie immeuble'!J35),0)</f>
        <v>0</v>
      </c>
      <c r="AO38" s="1">
        <f>IF('Saisie immeuble'!I35+'Saisie immeuble'!J35&gt;0,Feuil1!$AO$13+3*('Saisie immeuble'!I35+'Saisie immeuble'!J35-1),0)</f>
        <v>0</v>
      </c>
      <c r="AP38" s="1">
        <f>IF('Saisie immeuble'!I35+'Saisie immeuble'!J35&gt;0,Feuil1!$AP$13+2*('Saisie immeuble'!I35+'Saisie immeuble'!J35-1),0)</f>
        <v>0</v>
      </c>
      <c r="AQ38" s="1">
        <f>IF('Saisie immeuble'!I35+'Saisie immeuble'!J35&gt;0,Feuil1!$AQ$13*('Saisie immeuble'!I35+'Saisie immeuble'!J35),0)</f>
        <v>0</v>
      </c>
      <c r="AR38" s="1">
        <f t="shared" si="9"/>
        <v>0</v>
      </c>
      <c r="AS38" s="99" t="e">
        <f>AR38*'Saisie immeuble'!$F$8+IF(AND(R38&lt;&gt;"gaz",(S38="gaz")),AA38,0)</f>
        <v>#N/A</v>
      </c>
      <c r="AT38" s="52">
        <f>IF('Saisie immeuble'!I35+'Saisie immeuble'!J35&gt;0,1100+700*('Saisie immeuble'!I35+'Saisie immeuble'!J35-1),0)</f>
        <v>0</v>
      </c>
      <c r="AU38" s="3" t="e">
        <f>IF(AW38="élec",Feuil1!V38,IF(AW38="gaz",Feuil1!AB38,IF(AW38="fioul",'Référence&amp;tarifs'!$B$25,IF(AW38="bois",('Référence&amp;tarifs'!$B$23+'Référence&amp;tarifs'!$B$24)/2,0))))</f>
        <v>#N/A</v>
      </c>
      <c r="AV38" s="1" t="e">
        <f>VLOOKUP('Saisie immeuble'!F35,Feuil1!$Q$57:$U$70,4,FALSE)</f>
        <v>#N/A</v>
      </c>
      <c r="AW38" s="1" t="e">
        <f>VLOOKUP('Saisie immeuble'!F35,Feuil1!$Q$57:$U$70,5,FALSE)</f>
        <v>#N/A</v>
      </c>
      <c r="AX38" s="97" t="e">
        <f t="shared" si="10"/>
        <v>#N/A</v>
      </c>
    </row>
    <row r="39" spans="2:50" x14ac:dyDescent="0.3">
      <c r="B39" s="52" t="s">
        <v>234</v>
      </c>
      <c r="C39" s="1">
        <f>IF('Saisie immeuble'!D36=Feuil1!$B$4,4,IF(AND('Saisie immeuble'!D36=$B$5,('Saisie immeuble'!$C$4=Feuil1!$C$5)),5,IF(AND('Saisie immeuble'!D36=$B$5,('Saisie immeuble'!$C$4=Feuil1!$C$6)),6,IF(AND('Saisie immeuble'!D36=Feuil1!$B$7,('Saisie immeuble'!$C$4=Feuil1!$C$7)),7,IF(AND('Saisie immeuble'!D36=Feuil1!$B$7,('Saisie immeuble'!$C$4=Feuil1!$C$8)),8,0)))))</f>
        <v>0</v>
      </c>
      <c r="D39" s="90" t="e">
        <f>HLOOKUP('Saisie immeuble'!$C$3,Feuil1!$D$1:$BM$8,Feuil1!C39,FALSE)</f>
        <v>#N/A</v>
      </c>
      <c r="E39" s="1" t="e">
        <f>HLOOKUP('Saisie immeuble'!$C$3,Feuil1!$D$1:$BM$8,3,FALSE)</f>
        <v>#N/A</v>
      </c>
      <c r="F39" s="1" t="e">
        <f>IF(E39=1,450+'Saisie immeuble'!C36*6,IF(E39=2,300+'Saisie immeuble'!C36*5,150+'Saisie immeuble'!C36*3))</f>
        <v>#N/A</v>
      </c>
      <c r="G39" s="1" t="e">
        <f>IF(E39=1,1400+'Saisie immeuble'!C36*6,IF(E39=2,1100+'Saisie immeuble'!C36*6,500+'Saisie immeuble'!C36*6))</f>
        <v>#N/A</v>
      </c>
      <c r="H39" s="90">
        <f>IF('Saisie immeuble'!$C$6="oui",IF('Saisie immeuble'!D36="dernier étage",IF(Feuil1!E39=1,0.4*Feuil1!D39,IF(Feuil1!E39=2,0.35*Feuil1!D39,IF(Feuil1!E39=3,0.3*Feuil1!D39,0))),0),0)</f>
        <v>0</v>
      </c>
      <c r="I39" s="90">
        <f>IF('Saisie immeuble'!$C$7="oui",IF(AND(Feuil1!E39=1,('Saisie immeuble'!$C$4=Feuil1!$C$5)),0.3*Feuil1!D39,IF(AND(Feuil1!E39=1,('Saisie immeuble'!$C$4=Feuil1!$C$6)),0.2*Feuil1!D39,IF(AND(Feuil1!E39=2,('Saisie immeuble'!$C$4=Feuil1!$C$5)),0.25*Feuil1!D39,IF(AND(Feuil1!E39=2,('Saisie immeuble'!$C$4=Feuil1!$C$6)),0.15*Feuil1!D39,IF(AND(Feuil1!E39=3,('Saisie immeuble'!$C$4=Feuil1!$C$5)),0.2*Feuil1!D39,IF(AND(Feuil1!E39=3,('Saisie immeuble'!$C$4=Feuil1!$C$6)),0.12*Feuil1!D39)))))),0)</f>
        <v>0</v>
      </c>
      <c r="J39" s="90">
        <f>IF('Saisie immeuble'!$C$8="oui",IF(AND(Feuil1!E39=1,('Saisie immeuble'!$C$4=Feuil1!$C$5)),0.22*Feuil1!D39,IF(AND(Feuil1!E39=1,('Saisie immeuble'!$C$4=Feuil1!$C$6)),0.14*Feuil1!D39,IF(AND(Feuil1!E39=2,('Saisie immeuble'!$C$4=Feuil1!$C$5)),0.2*Feuil1!D39,IF(AND(Feuil1!E39=2,('Saisie immeuble'!$C$4=Feuil1!$C$6)),0.12*Feuil1!D39,IF(AND(Feuil1!E39=3,('Saisie immeuble'!$C$4=Feuil1!$C$5)),0.16*Feuil1!D39,IF(AND(Feuil1!E39=3,('Saisie immeuble'!$C$4=Feuil1!$C$6)),0.1*Feuil1!D39)))))),0)</f>
        <v>0</v>
      </c>
      <c r="K39" s="90">
        <f>IF('Saisie immeuble'!$F$7="oui",IF('Saisie immeuble'!D36="rez de chaussée",IF(Feuil1!E39=1,0.2*Feuil1!D39,IF(Feuil1!E39=2,0.16*Feuil1!D39,IF(Feuil1!E39=3,0.12*Feuil1!D39,0))),0),0)</f>
        <v>0</v>
      </c>
      <c r="L39" s="1">
        <f>IF('Saisie immeuble'!C36&gt;0,IF('Saisie immeuble'!C36&gt;57,('Saisie immeuble'!C36-57)*55,('Saisie immeuble'!C36-57)*35),0)</f>
        <v>0</v>
      </c>
      <c r="M39" s="1">
        <f>IF('Saisie immeuble'!C36&gt;0,IF('Saisie immeuble'!$H$7=Feuil1!$B$78,IF(Feuil1!E39=1,700,IF(Feuil1!E39=2,550,400)),IF('Saisie immeuble'!$H$7=Feuil1!$B$79,IF(Feuil1!E39=1,350,IF(Feuil1!E39=2,275,200)),0))*(1-((57-'Saisie immeuble'!C36)/100)),0)</f>
        <v>0</v>
      </c>
      <c r="N39" s="90" t="e">
        <f>D39-IF('Saisie immeuble'!G36=Feuil1!$B$68,Feuil1!F39,IF('Saisie immeuble'!G36=Feuil1!$B$69,G39,0))-H39-I39-J39+L39-K39+M39</f>
        <v>#N/A</v>
      </c>
      <c r="O39" s="100" t="e">
        <f t="shared" si="6"/>
        <v>#N/A</v>
      </c>
      <c r="P39" s="90" t="e">
        <f>IF('Saisie immeuble'!$C$5="individuel",N39/AJ39,O39/AJ39)</f>
        <v>#N/A</v>
      </c>
      <c r="Q39" s="99" t="e">
        <f t="shared" si="7"/>
        <v>#N/A</v>
      </c>
      <c r="R39" s="52" t="e">
        <f>VLOOKUP('Saisie immeuble'!E36,Feuil1!$G$58:$I$75,3,0)</f>
        <v>#N/A</v>
      </c>
      <c r="S39" s="1" t="e">
        <f>VLOOKUP('Saisie immeuble'!F36,Feuil1!$Q$57:$U$70,5,FALSE)</f>
        <v>#N/A</v>
      </c>
      <c r="T39" s="1" t="e">
        <f>IF(AND(R39&lt;&gt;"élec",(S39&lt;&gt;"élec"),('Saisie immeuble'!C36&lt;40)),'Référence&amp;tarifs'!$A$6,IF(AND(R39="élec",(S39="élec")),'Référence&amp;tarifs'!$A$8,'Référence&amp;tarifs'!$A$7))</f>
        <v>#N/A</v>
      </c>
      <c r="U39" s="1" t="e">
        <f>VLOOKUP(T39,'Référence&amp;tarifs'!$A$6:$C$10,2,FALSE)</f>
        <v>#N/A</v>
      </c>
      <c r="V39" s="1" t="e">
        <f>VLOOKUP(T39,'Référence&amp;tarifs'!$A$6:$C$10,3,FALSE)</f>
        <v>#N/A</v>
      </c>
      <c r="W39" s="1"/>
      <c r="X39" s="51" t="e">
        <f>IF('Résultat immeuble'!#REF!&lt;1.1,HLOOKUP(Feuil1!T39,'Référence&amp;tarifs'!#REF!,2,FALSE),IF('Résultat immeuble'!#REF!&gt;1.9,HLOOKUP(Feuil1!T39,'Référence&amp;tarifs'!#REF!,4,FALSE),HLOOKUP(Feuil1!T39,'Référence&amp;tarifs'!#REF!,3,FALSE)))</f>
        <v>#REF!</v>
      </c>
      <c r="Y39" s="52" t="e">
        <f>IF(R39="gaz",N39,0)+IF(S39="gaz",AT39,0)+IF('Saisie immeuble'!H36="gaz de ville",Feuil1!AH39,0)</f>
        <v>#N/A</v>
      </c>
      <c r="Z39" s="1" t="e">
        <f>IF(Y39&lt;1000,'Référence&amp;tarifs'!$A$16,IF(Y39&gt;5999,'Référence&amp;tarifs'!$A$18,'Référence&amp;tarifs'!$A$17))</f>
        <v>#N/A</v>
      </c>
      <c r="AA39" s="1" t="e">
        <f>VLOOKUP(Z39,'Référence&amp;tarifs'!$A$16:$C$18,2,FALSE)</f>
        <v>#N/A</v>
      </c>
      <c r="AB39" s="1" t="e">
        <f>VLOOKUP(Z39,'Référence&amp;tarifs'!$A$16:$C$18,3,FALSE)</f>
        <v>#N/A</v>
      </c>
      <c r="AC39" s="58" t="b">
        <f>IF('Saisie immeuble'!$C$5="individuel",IF('Résultat immeuble'!#REF!=1,HLOOKUP(Feuil1!Z39,'Référence&amp;tarifs'!#REF!,2,FALSE),IF('Résultat immeuble'!#REF!&gt;1.9,HLOOKUP(Feuil1!Z39,'Référence&amp;tarifs'!#REF!,4,FALSE),HLOOKUP(Feuil1!Z39,'Référence&amp;tarifs'!#REF!,3,FALSE))),IF('Saisie immeuble'!$C$5="collectif",IF('Résultat immeuble'!#REF!=1,'Référence&amp;tarifs'!#REF!,IF('Résultat immeuble'!#REF!&gt;1.9,'Référence&amp;tarifs'!#REF!,IF(AND('Résultat immeuble'!#REF!&lt;2,('Résultat immeuble'!#REF!&gt;1)),'Référence&amp;tarifs'!#REF!,0)))))</f>
        <v>0</v>
      </c>
      <c r="AD39" s="109">
        <f>IF('Saisie immeuble'!I36+'Saisie immeuble'!J36&gt;0,18*'Saisie immeuble'!C36+3.5*('Saisie immeuble'!I36+'Saisie immeuble'!J36-1)*'Saisie immeuble'!C36,0)</f>
        <v>0</v>
      </c>
      <c r="AE39" s="110"/>
      <c r="AF39" s="111"/>
      <c r="AG39" s="97" t="e">
        <f t="shared" si="8"/>
        <v>#N/A</v>
      </c>
      <c r="AH39" s="52">
        <f>IF('Saisie immeuble'!I36+'Saisie immeuble'!J36&gt;0,350+80*('Saisie immeuble'!I36+'Saisie immeuble'!J36-1),0)</f>
        <v>0</v>
      </c>
      <c r="AI39" s="97" t="e">
        <f>IF('Saisie immeuble'!H36="gaz de ville",Feuil1!AB39,IF('Saisie immeuble'!H36=$B$72,V39,0))*Feuil1!AH39+IF(AND(R39&lt;&gt;"gaz",(S39&lt;&gt;"gaz"),('Saisie immeuble'!H36="gaz de ville")),Feuil1!AA39,0)</f>
        <v>#N/A</v>
      </c>
      <c r="AJ39" s="52" t="e">
        <f>VLOOKUP('Saisie immeuble'!E36,Feuil1!$G$58:$I$75,2,FALSE)</f>
        <v>#N/A</v>
      </c>
      <c r="AK39" s="1" t="e">
        <f>VLOOKUP('Saisie immeuble'!E36,Feuil1!$G$58:$I$75,3,FALSE)</f>
        <v>#N/A</v>
      </c>
      <c r="AL39" s="98" t="e">
        <f>IF(AK39="élec",V39,IF(AK39="gaz",AB39,IF(AK39="fioul",'Référence&amp;tarifs'!$B$25,IF(AK39="bois buche",'Référence&amp;tarifs'!$B$23,IF(AK39="bois granulés",'Référence&amp;tarifs'!$B$24,IF(AK39=I83,0.8*('Référence&amp;tarifs'!$B$23+'Référence&amp;tarifs'!B41)/2+0.2*Feuil1!AB39,0))))))</f>
        <v>#N/A</v>
      </c>
      <c r="AM39" s="52">
        <f>IF('Saisie immeuble'!I36+'Saisie immeuble'!J36&gt;0,Feuil1!$AM$13+2*('Saisie immeuble'!I36+'Saisie immeuble'!J36-1),0)</f>
        <v>0</v>
      </c>
      <c r="AN39" s="1">
        <f>IF('Saisie immeuble'!I36+'Saisie immeuble'!J36&gt;0,Feuil1!$AN$13*('Saisie immeuble'!I36+'Saisie immeuble'!J36),0)</f>
        <v>0</v>
      </c>
      <c r="AO39" s="1">
        <f>IF('Saisie immeuble'!I36+'Saisie immeuble'!J36&gt;0,Feuil1!$AO$13+3*('Saisie immeuble'!I36+'Saisie immeuble'!J36-1),0)</f>
        <v>0</v>
      </c>
      <c r="AP39" s="1">
        <f>IF('Saisie immeuble'!I36+'Saisie immeuble'!J36&gt;0,Feuil1!$AP$13+2*('Saisie immeuble'!I36+'Saisie immeuble'!J36-1),0)</f>
        <v>0</v>
      </c>
      <c r="AQ39" s="1">
        <f>IF('Saisie immeuble'!I36+'Saisie immeuble'!J36&gt;0,Feuil1!$AQ$13*('Saisie immeuble'!I36+'Saisie immeuble'!J36),0)</f>
        <v>0</v>
      </c>
      <c r="AR39" s="1">
        <f t="shared" si="9"/>
        <v>0</v>
      </c>
      <c r="AS39" s="99" t="e">
        <f>AR39*'Saisie immeuble'!$F$8+IF(AND(R39&lt;&gt;"gaz",(S39="gaz")),AA39,0)</f>
        <v>#N/A</v>
      </c>
      <c r="AT39" s="52">
        <f>IF('Saisie immeuble'!I36+'Saisie immeuble'!J36&gt;0,1100+700*('Saisie immeuble'!I36+'Saisie immeuble'!J36-1),0)</f>
        <v>0</v>
      </c>
      <c r="AU39" s="3" t="e">
        <f>IF(AW39="élec",Feuil1!V39,IF(AW39="gaz",Feuil1!AB39,IF(AW39="fioul",'Référence&amp;tarifs'!$B$25,IF(AW39="bois",('Référence&amp;tarifs'!$B$23+'Référence&amp;tarifs'!$B$24)/2,0))))</f>
        <v>#N/A</v>
      </c>
      <c r="AV39" s="1" t="e">
        <f>VLOOKUP('Saisie immeuble'!F36,Feuil1!$Q$57:$U$70,4,FALSE)</f>
        <v>#N/A</v>
      </c>
      <c r="AW39" s="1" t="e">
        <f>VLOOKUP('Saisie immeuble'!F36,Feuil1!$Q$57:$U$70,5,FALSE)</f>
        <v>#N/A</v>
      </c>
      <c r="AX39" s="97" t="e">
        <f t="shared" si="10"/>
        <v>#N/A</v>
      </c>
    </row>
    <row r="40" spans="2:50" x14ac:dyDescent="0.3">
      <c r="B40" s="52" t="s">
        <v>235</v>
      </c>
      <c r="C40" s="1">
        <f>IF('Saisie immeuble'!D37=Feuil1!$B$4,4,IF(AND('Saisie immeuble'!D37=$B$5,('Saisie immeuble'!$C$4=Feuil1!$C$5)),5,IF(AND('Saisie immeuble'!D37=$B$5,('Saisie immeuble'!$C$4=Feuil1!$C$6)),6,IF(AND('Saisie immeuble'!D37=Feuil1!$B$7,('Saisie immeuble'!$C$4=Feuil1!$C$7)),7,IF(AND('Saisie immeuble'!D37=Feuil1!$B$7,('Saisie immeuble'!$C$4=Feuil1!$C$8)),8,0)))))</f>
        <v>0</v>
      </c>
      <c r="D40" s="90" t="e">
        <f>HLOOKUP('Saisie immeuble'!$C$3,Feuil1!$D$1:$BM$8,Feuil1!C40,FALSE)</f>
        <v>#N/A</v>
      </c>
      <c r="E40" s="1" t="e">
        <f>HLOOKUP('Saisie immeuble'!$C$3,Feuil1!$D$1:$BM$8,3,FALSE)</f>
        <v>#N/A</v>
      </c>
      <c r="F40" s="1" t="e">
        <f>IF(E40=1,450+'Saisie immeuble'!C37*6,IF(E40=2,300+'Saisie immeuble'!C37*5,150+'Saisie immeuble'!C37*3))</f>
        <v>#N/A</v>
      </c>
      <c r="G40" s="1" t="e">
        <f>IF(E40=1,1400+'Saisie immeuble'!C37*6,IF(E40=2,1100+'Saisie immeuble'!C37*6,500+'Saisie immeuble'!C37*6))</f>
        <v>#N/A</v>
      </c>
      <c r="H40" s="90">
        <f>IF('Saisie immeuble'!$C$6="oui",IF('Saisie immeuble'!D37="dernier étage",IF(Feuil1!E40=1,0.4*Feuil1!D40,IF(Feuil1!E40=2,0.35*Feuil1!D40,IF(Feuil1!E40=3,0.3*Feuil1!D40,0))),0),0)</f>
        <v>0</v>
      </c>
      <c r="I40" s="90">
        <f>IF('Saisie immeuble'!$C$7="oui",IF(AND(Feuil1!E40=1,('Saisie immeuble'!$C$4=Feuil1!$C$5)),0.3*Feuil1!D40,IF(AND(Feuil1!E40=1,('Saisie immeuble'!$C$4=Feuil1!$C$6)),0.2*Feuil1!D40,IF(AND(Feuil1!E40=2,('Saisie immeuble'!$C$4=Feuil1!$C$5)),0.25*Feuil1!D40,IF(AND(Feuil1!E40=2,('Saisie immeuble'!$C$4=Feuil1!$C$6)),0.15*Feuil1!D40,IF(AND(Feuil1!E40=3,('Saisie immeuble'!$C$4=Feuil1!$C$5)),0.2*Feuil1!D40,IF(AND(Feuil1!E40=3,('Saisie immeuble'!$C$4=Feuil1!$C$6)),0.12*Feuil1!D40)))))),0)</f>
        <v>0</v>
      </c>
      <c r="J40" s="90">
        <f>IF('Saisie immeuble'!$C$8="oui",IF(AND(Feuil1!E40=1,('Saisie immeuble'!$C$4=Feuil1!$C$5)),0.22*Feuil1!D40,IF(AND(Feuil1!E40=1,('Saisie immeuble'!$C$4=Feuil1!$C$6)),0.14*Feuil1!D40,IF(AND(Feuil1!E40=2,('Saisie immeuble'!$C$4=Feuil1!$C$5)),0.2*Feuil1!D40,IF(AND(Feuil1!E40=2,('Saisie immeuble'!$C$4=Feuil1!$C$6)),0.12*Feuil1!D40,IF(AND(Feuil1!E40=3,('Saisie immeuble'!$C$4=Feuil1!$C$5)),0.16*Feuil1!D40,IF(AND(Feuil1!E40=3,('Saisie immeuble'!$C$4=Feuil1!$C$6)),0.1*Feuil1!D40)))))),0)</f>
        <v>0</v>
      </c>
      <c r="K40" s="90">
        <f>IF('Saisie immeuble'!$F$7="oui",IF('Saisie immeuble'!D37="rez de chaussée",IF(Feuil1!E40=1,0.2*Feuil1!D40,IF(Feuil1!E40=2,0.16*Feuil1!D40,IF(Feuil1!E40=3,0.12*Feuil1!D40,0))),0),0)</f>
        <v>0</v>
      </c>
      <c r="L40" s="1">
        <f>IF('Saisie immeuble'!C37&gt;0,IF('Saisie immeuble'!C37&gt;57,('Saisie immeuble'!C37-57)*55,('Saisie immeuble'!C37-57)*35),0)</f>
        <v>0</v>
      </c>
      <c r="M40" s="1">
        <f>IF('Saisie immeuble'!C37&gt;0,IF('Saisie immeuble'!$H$7=Feuil1!$B$78,IF(Feuil1!E40=1,700,IF(Feuil1!E40=2,550,400)),IF('Saisie immeuble'!$H$7=Feuil1!$B$79,IF(Feuil1!E40=1,350,IF(Feuil1!E40=2,275,200)),0))*(1-((57-'Saisie immeuble'!C37)/100)),0)</f>
        <v>0</v>
      </c>
      <c r="N40" s="90" t="e">
        <f>D40-IF('Saisie immeuble'!G37=Feuil1!$B$68,Feuil1!F40,IF('Saisie immeuble'!G37=Feuil1!$B$69,G40,0))-H40-I40-J40+L40-K40+M40</f>
        <v>#N/A</v>
      </c>
      <c r="O40" s="100" t="e">
        <f t="shared" si="6"/>
        <v>#N/A</v>
      </c>
      <c r="P40" s="90" t="e">
        <f>IF('Saisie immeuble'!$C$5="individuel",N40/AJ40,O40/AJ40)</f>
        <v>#N/A</v>
      </c>
      <c r="Q40" s="99" t="e">
        <f t="shared" si="7"/>
        <v>#N/A</v>
      </c>
      <c r="R40" s="52" t="e">
        <f>VLOOKUP('Saisie immeuble'!E37,Feuil1!$G$58:$I$75,3,0)</f>
        <v>#N/A</v>
      </c>
      <c r="S40" s="1" t="e">
        <f>VLOOKUP('Saisie immeuble'!F37,Feuil1!$Q$57:$U$70,5,FALSE)</f>
        <v>#N/A</v>
      </c>
      <c r="T40" s="1" t="e">
        <f>IF(AND(R40&lt;&gt;"élec",(S40&lt;&gt;"élec"),('Saisie immeuble'!C37&lt;40)),'Référence&amp;tarifs'!$A$6,IF(AND(R40="élec",(S40="élec")),'Référence&amp;tarifs'!$A$8,'Référence&amp;tarifs'!$A$7))</f>
        <v>#N/A</v>
      </c>
      <c r="U40" s="1" t="e">
        <f>VLOOKUP(T40,'Référence&amp;tarifs'!$A$6:$C$10,2,FALSE)</f>
        <v>#N/A</v>
      </c>
      <c r="V40" s="1" t="e">
        <f>VLOOKUP(T40,'Référence&amp;tarifs'!$A$6:$C$10,3,FALSE)</f>
        <v>#N/A</v>
      </c>
      <c r="W40" s="1"/>
      <c r="X40" s="51" t="e">
        <f>IF('Résultat immeuble'!S26&lt;1.1,HLOOKUP(Feuil1!T40,'Référence&amp;tarifs'!#REF!,2,FALSE),IF('Résultat immeuble'!S26&gt;1.9,HLOOKUP(Feuil1!T40,'Référence&amp;tarifs'!#REF!,4,FALSE),HLOOKUP(Feuil1!T40,'Référence&amp;tarifs'!#REF!,3,FALSE)))</f>
        <v>#N/A</v>
      </c>
      <c r="Y40" s="52" t="e">
        <f>IF(R40="gaz",N40,0)+IF(S40="gaz",AT40,0)+IF('Saisie immeuble'!H37="gaz de ville",Feuil1!AH40,0)</f>
        <v>#N/A</v>
      </c>
      <c r="Z40" s="1" t="e">
        <f>IF(Y40&lt;1000,'Référence&amp;tarifs'!$A$16,IF(Y40&gt;5999,'Référence&amp;tarifs'!$A$18,'Référence&amp;tarifs'!$A$17))</f>
        <v>#N/A</v>
      </c>
      <c r="AA40" s="1" t="e">
        <f>VLOOKUP(Z40,'Référence&amp;tarifs'!$A$16:$C$18,2,FALSE)</f>
        <v>#N/A</v>
      </c>
      <c r="AB40" s="1" t="e">
        <f>VLOOKUP(Z40,'Référence&amp;tarifs'!$A$16:$C$18,3,FALSE)</f>
        <v>#N/A</v>
      </c>
      <c r="AC40" s="58" t="b">
        <f>IF('Saisie immeuble'!$C$5="individuel",IF('Résultat immeuble'!S26=1,HLOOKUP(Feuil1!Z40,'Référence&amp;tarifs'!#REF!,2,FALSE),IF('Résultat immeuble'!S26&gt;1.9,HLOOKUP(Feuil1!Z40,'Référence&amp;tarifs'!#REF!,4,FALSE),HLOOKUP(Feuil1!Z40,'Référence&amp;tarifs'!#REF!,3,FALSE))),IF('Saisie immeuble'!$C$5="collectif",IF('Résultat immeuble'!S26=1,'Référence&amp;tarifs'!#REF!,IF('Résultat immeuble'!S26&gt;1.9,'Référence&amp;tarifs'!#REF!,IF(AND('Résultat immeuble'!S26&lt;2,('Résultat immeuble'!S26&gt;1)),'Référence&amp;tarifs'!#REF!,0)))))</f>
        <v>0</v>
      </c>
      <c r="AD40" s="109">
        <f>IF('Saisie immeuble'!I37+'Saisie immeuble'!J37&gt;0,18*'Saisie immeuble'!C37+3.5*('Saisie immeuble'!I37+'Saisie immeuble'!J37-1)*'Saisie immeuble'!C37,0)</f>
        <v>0</v>
      </c>
      <c r="AE40" s="110"/>
      <c r="AF40" s="111"/>
      <c r="AG40" s="97" t="e">
        <f t="shared" si="8"/>
        <v>#N/A</v>
      </c>
      <c r="AH40" s="52">
        <f>IF('Saisie immeuble'!I37+'Saisie immeuble'!J37&gt;0,350+80*('Saisie immeuble'!I37+'Saisie immeuble'!J37-1),0)</f>
        <v>0</v>
      </c>
      <c r="AI40" s="97" t="e">
        <f>IF('Saisie immeuble'!H37="gaz de ville",Feuil1!AB40,IF('Saisie immeuble'!H37=$B$72,V40,0))*Feuil1!AH40+IF(AND(R40&lt;&gt;"gaz",(S40&lt;&gt;"gaz"),('Saisie immeuble'!H37="gaz de ville")),Feuil1!AA40,0)</f>
        <v>#N/A</v>
      </c>
      <c r="AJ40" s="52" t="e">
        <f>VLOOKUP('Saisie immeuble'!E37,Feuil1!$G$58:$I$75,2,FALSE)</f>
        <v>#N/A</v>
      </c>
      <c r="AK40" s="1" t="e">
        <f>VLOOKUP('Saisie immeuble'!E37,Feuil1!$G$58:$I$75,3,FALSE)</f>
        <v>#N/A</v>
      </c>
      <c r="AL40" s="98" t="e">
        <f>IF(AK40="élec",V40,IF(AK40="gaz",AB40,IF(AK40="fioul",'Référence&amp;tarifs'!$B$25,IF(AK40="bois buche",'Référence&amp;tarifs'!$B$23,IF(AK40="bois granulés",'Référence&amp;tarifs'!$B$24,IF(AK40=I84,0.8*('Référence&amp;tarifs'!$B$23+'Référence&amp;tarifs'!B42)/2+0.2*Feuil1!AB40,0))))))</f>
        <v>#N/A</v>
      </c>
      <c r="AM40" s="52">
        <f>IF('Saisie immeuble'!I37+'Saisie immeuble'!J37&gt;0,Feuil1!$AM$13+2*('Saisie immeuble'!I37+'Saisie immeuble'!J37-1),0)</f>
        <v>0</v>
      </c>
      <c r="AN40" s="1">
        <f>IF('Saisie immeuble'!I37+'Saisie immeuble'!J37&gt;0,Feuil1!$AN$13*('Saisie immeuble'!I37+'Saisie immeuble'!J37),0)</f>
        <v>0</v>
      </c>
      <c r="AO40" s="1">
        <f>IF('Saisie immeuble'!I37+'Saisie immeuble'!J37&gt;0,Feuil1!$AO$13+3*('Saisie immeuble'!I37+'Saisie immeuble'!J37-1),0)</f>
        <v>0</v>
      </c>
      <c r="AP40" s="1">
        <f>IF('Saisie immeuble'!I37+'Saisie immeuble'!J37&gt;0,Feuil1!$AP$13+2*('Saisie immeuble'!I37+'Saisie immeuble'!J37-1),0)</f>
        <v>0</v>
      </c>
      <c r="AQ40" s="1">
        <f>IF('Saisie immeuble'!I37+'Saisie immeuble'!J37&gt;0,Feuil1!$AQ$13*('Saisie immeuble'!I37+'Saisie immeuble'!J37),0)</f>
        <v>0</v>
      </c>
      <c r="AR40" s="1">
        <f t="shared" si="9"/>
        <v>0</v>
      </c>
      <c r="AS40" s="99" t="e">
        <f>AR40*'Saisie immeuble'!$F$8+IF(AND(R40&lt;&gt;"gaz",(S40="gaz")),AA40,0)</f>
        <v>#N/A</v>
      </c>
      <c r="AT40" s="52">
        <f>IF('Saisie immeuble'!I37+'Saisie immeuble'!J37&gt;0,1100+700*('Saisie immeuble'!I37+'Saisie immeuble'!J37-1),0)</f>
        <v>0</v>
      </c>
      <c r="AU40" s="3" t="e">
        <f>IF(AW40="élec",Feuil1!V40,IF(AW40="gaz",Feuil1!AB40,IF(AW40="fioul",'Référence&amp;tarifs'!$B$25,IF(AW40="bois",('Référence&amp;tarifs'!$B$23+'Référence&amp;tarifs'!$B$24)/2,0))))</f>
        <v>#N/A</v>
      </c>
      <c r="AV40" s="1" t="e">
        <f>VLOOKUP('Saisie immeuble'!F37,Feuil1!$Q$57:$U$70,4,FALSE)</f>
        <v>#N/A</v>
      </c>
      <c r="AW40" s="1" t="e">
        <f>VLOOKUP('Saisie immeuble'!F37,Feuil1!$Q$57:$U$70,5,FALSE)</f>
        <v>#N/A</v>
      </c>
      <c r="AX40" s="97" t="e">
        <f t="shared" si="10"/>
        <v>#N/A</v>
      </c>
    </row>
    <row r="41" spans="2:50" x14ac:dyDescent="0.3">
      <c r="B41" s="52" t="s">
        <v>236</v>
      </c>
      <c r="C41" s="1">
        <f>IF('Saisie immeuble'!D38=Feuil1!$B$4,4,IF(AND('Saisie immeuble'!D38=$B$5,('Saisie immeuble'!$C$4=Feuil1!$C$5)),5,IF(AND('Saisie immeuble'!D38=$B$5,('Saisie immeuble'!$C$4=Feuil1!$C$6)),6,IF(AND('Saisie immeuble'!D38=Feuil1!$B$7,('Saisie immeuble'!$C$4=Feuil1!$C$7)),7,IF(AND('Saisie immeuble'!D38=Feuil1!$B$7,('Saisie immeuble'!$C$4=Feuil1!$C$8)),8,0)))))</f>
        <v>0</v>
      </c>
      <c r="D41" s="90" t="e">
        <f>HLOOKUP('Saisie immeuble'!$C$3,Feuil1!$D$1:$BM$8,Feuil1!C41,FALSE)</f>
        <v>#N/A</v>
      </c>
      <c r="E41" s="1" t="e">
        <f>HLOOKUP('Saisie immeuble'!$C$3,Feuil1!$D$1:$BM$8,3,FALSE)</f>
        <v>#N/A</v>
      </c>
      <c r="F41" s="1" t="e">
        <f>IF(E41=1,450+'Saisie immeuble'!C38*6,IF(E41=2,300+'Saisie immeuble'!C38*5,150+'Saisie immeuble'!C38*3))</f>
        <v>#N/A</v>
      </c>
      <c r="G41" s="1" t="e">
        <f>IF(E41=1,1400+'Saisie immeuble'!C38*6,IF(E41=2,1100+'Saisie immeuble'!C38*6,500+'Saisie immeuble'!C38*6))</f>
        <v>#N/A</v>
      </c>
      <c r="H41" s="90">
        <f>IF('Saisie immeuble'!$C$6="oui",IF('Saisie immeuble'!D38="dernier étage",IF(Feuil1!E41=1,0.4*Feuil1!D41,IF(Feuil1!E41=2,0.35*Feuil1!D41,IF(Feuil1!E41=3,0.3*Feuil1!D41,0))),0),0)</f>
        <v>0</v>
      </c>
      <c r="I41" s="90">
        <f>IF('Saisie immeuble'!$C$7="oui",IF(AND(Feuil1!E41=1,('Saisie immeuble'!$C$4=Feuil1!$C$5)),0.3*Feuil1!D41,IF(AND(Feuil1!E41=1,('Saisie immeuble'!$C$4=Feuil1!$C$6)),0.2*Feuil1!D41,IF(AND(Feuil1!E41=2,('Saisie immeuble'!$C$4=Feuil1!$C$5)),0.25*Feuil1!D41,IF(AND(Feuil1!E41=2,('Saisie immeuble'!$C$4=Feuil1!$C$6)),0.15*Feuil1!D41,IF(AND(Feuil1!E41=3,('Saisie immeuble'!$C$4=Feuil1!$C$5)),0.2*Feuil1!D41,IF(AND(Feuil1!E41=3,('Saisie immeuble'!$C$4=Feuil1!$C$6)),0.12*Feuil1!D41)))))),0)</f>
        <v>0</v>
      </c>
      <c r="J41" s="90">
        <f>IF('Saisie immeuble'!$C$8="oui",IF(AND(Feuil1!E41=1,('Saisie immeuble'!$C$4=Feuil1!$C$5)),0.22*Feuil1!D41,IF(AND(Feuil1!E41=1,('Saisie immeuble'!$C$4=Feuil1!$C$6)),0.14*Feuil1!D41,IF(AND(Feuil1!E41=2,('Saisie immeuble'!$C$4=Feuil1!$C$5)),0.2*Feuil1!D41,IF(AND(Feuil1!E41=2,('Saisie immeuble'!$C$4=Feuil1!$C$6)),0.12*Feuil1!D41,IF(AND(Feuil1!E41=3,('Saisie immeuble'!$C$4=Feuil1!$C$5)),0.16*Feuil1!D41,IF(AND(Feuil1!E41=3,('Saisie immeuble'!$C$4=Feuil1!$C$6)),0.1*Feuil1!D41)))))),0)</f>
        <v>0</v>
      </c>
      <c r="K41" s="90">
        <f>IF('Saisie immeuble'!$F$7="oui",IF('Saisie immeuble'!D38="rez de chaussée",IF(Feuil1!E41=1,0.2*Feuil1!D41,IF(Feuil1!E41=2,0.16*Feuil1!D41,IF(Feuil1!E41=3,0.12*Feuil1!D41,0))),0),0)</f>
        <v>0</v>
      </c>
      <c r="L41" s="1">
        <f>IF('Saisie immeuble'!C38&gt;0,IF('Saisie immeuble'!C38&gt;57,('Saisie immeuble'!C38-57)*55,('Saisie immeuble'!C38-57)*35),0)</f>
        <v>0</v>
      </c>
      <c r="M41" s="1">
        <f>IF('Saisie immeuble'!C38&gt;0,IF('Saisie immeuble'!$H$7=Feuil1!$B$78,IF(Feuil1!E41=1,700,IF(Feuil1!E41=2,550,400)),IF('Saisie immeuble'!$H$7=Feuil1!$B$79,IF(Feuil1!E41=1,350,IF(Feuil1!E41=2,275,200)),0))*(1-((57-'Saisie immeuble'!C38)/100)),0)</f>
        <v>0</v>
      </c>
      <c r="N41" s="90" t="e">
        <f>D41-IF('Saisie immeuble'!G38=Feuil1!$B$68,Feuil1!F41,IF('Saisie immeuble'!G38=Feuil1!$B$69,G41,0))-H41-I41-J41+L41-K41+M41</f>
        <v>#N/A</v>
      </c>
      <c r="O41" s="100" t="e">
        <f t="shared" si="6"/>
        <v>#N/A</v>
      </c>
      <c r="P41" s="90" t="e">
        <f>IF('Saisie immeuble'!$C$5="individuel",N41/AJ41,O41/AJ41)</f>
        <v>#N/A</v>
      </c>
      <c r="Q41" s="99" t="e">
        <f t="shared" si="7"/>
        <v>#N/A</v>
      </c>
      <c r="R41" s="52" t="e">
        <f>VLOOKUP('Saisie immeuble'!E38,Feuil1!$G$58:$I$75,3,0)</f>
        <v>#N/A</v>
      </c>
      <c r="S41" s="1" t="e">
        <f>VLOOKUP('Saisie immeuble'!F38,Feuil1!$Q$57:$U$70,5,FALSE)</f>
        <v>#N/A</v>
      </c>
      <c r="T41" s="1" t="e">
        <f>IF(AND(R41&lt;&gt;"élec",(S41&lt;&gt;"élec"),('Saisie immeuble'!C38&lt;40)),'Référence&amp;tarifs'!$A$6,IF(AND(R41="élec",(S41="élec")),'Référence&amp;tarifs'!$A$8,'Référence&amp;tarifs'!$A$7))</f>
        <v>#N/A</v>
      </c>
      <c r="U41" s="1" t="e">
        <f>VLOOKUP(T41,'Référence&amp;tarifs'!$A$6:$C$10,2,FALSE)</f>
        <v>#N/A</v>
      </c>
      <c r="V41" s="1" t="e">
        <f>VLOOKUP(T41,'Référence&amp;tarifs'!$A$6:$C$10,3,FALSE)</f>
        <v>#N/A</v>
      </c>
      <c r="W41" s="1"/>
      <c r="X41" s="51" t="e">
        <f>IF('Résultat immeuble'!#REF!&lt;1.1,HLOOKUP(Feuil1!T41,'Référence&amp;tarifs'!#REF!,2,FALSE),IF('Résultat immeuble'!#REF!&gt;1.9,HLOOKUP(Feuil1!T41,'Référence&amp;tarifs'!#REF!,4,FALSE),HLOOKUP(Feuil1!T41,'Référence&amp;tarifs'!#REF!,3,FALSE)))</f>
        <v>#REF!</v>
      </c>
      <c r="Y41" s="52" t="e">
        <f>IF(R41="gaz",N41,0)+IF(S41="gaz",AT41,0)+IF('Saisie immeuble'!H38="gaz de ville",Feuil1!AH41,0)</f>
        <v>#N/A</v>
      </c>
      <c r="Z41" s="1" t="e">
        <f>IF(Y41&lt;1000,'Référence&amp;tarifs'!$A$16,IF(Y41&gt;5999,'Référence&amp;tarifs'!$A$18,'Référence&amp;tarifs'!$A$17))</f>
        <v>#N/A</v>
      </c>
      <c r="AA41" s="1" t="e">
        <f>VLOOKUP(Z41,'Référence&amp;tarifs'!$A$16:$C$18,2,FALSE)</f>
        <v>#N/A</v>
      </c>
      <c r="AB41" s="1" t="e">
        <f>VLOOKUP(Z41,'Référence&amp;tarifs'!$A$16:$C$18,3,FALSE)</f>
        <v>#N/A</v>
      </c>
      <c r="AC41" s="58" t="b">
        <f>IF('Saisie immeuble'!$C$5="individuel",IF('Résultat immeuble'!#REF!=1,HLOOKUP(Feuil1!Z41,'Référence&amp;tarifs'!#REF!,2,FALSE),IF('Résultat immeuble'!#REF!&gt;1.9,HLOOKUP(Feuil1!Z41,'Référence&amp;tarifs'!#REF!,4,FALSE),HLOOKUP(Feuil1!Z41,'Référence&amp;tarifs'!#REF!,3,FALSE))),IF('Saisie immeuble'!$C$5="collectif",IF('Résultat immeuble'!#REF!=1,'Référence&amp;tarifs'!#REF!,IF('Résultat immeuble'!#REF!&gt;1.9,'Référence&amp;tarifs'!#REF!,IF(AND('Résultat immeuble'!#REF!&lt;2,('Résultat immeuble'!#REF!&gt;1)),'Référence&amp;tarifs'!#REF!,0)))))</f>
        <v>0</v>
      </c>
      <c r="AD41" s="109">
        <f>IF('Saisie immeuble'!I38+'Saisie immeuble'!J38&gt;0,18*'Saisie immeuble'!C38+3.5*('Saisie immeuble'!I38+'Saisie immeuble'!J38-1)*'Saisie immeuble'!C38,0)</f>
        <v>0</v>
      </c>
      <c r="AE41" s="110"/>
      <c r="AF41" s="111"/>
      <c r="AG41" s="97" t="e">
        <f t="shared" si="8"/>
        <v>#N/A</v>
      </c>
      <c r="AH41" s="52">
        <f>IF('Saisie immeuble'!I38+'Saisie immeuble'!J38&gt;0,350+80*('Saisie immeuble'!I38+'Saisie immeuble'!J38-1),0)</f>
        <v>0</v>
      </c>
      <c r="AI41" s="97" t="e">
        <f>IF('Saisie immeuble'!H38="gaz de ville",Feuil1!AB41,IF('Saisie immeuble'!H38=$B$72,V41,0))*Feuil1!AH41+IF(AND(R41&lt;&gt;"gaz",(S41&lt;&gt;"gaz"),('Saisie immeuble'!H38="gaz de ville")),Feuil1!AA41,0)</f>
        <v>#N/A</v>
      </c>
      <c r="AJ41" s="52" t="e">
        <f>VLOOKUP('Saisie immeuble'!E38,Feuil1!$G$58:$I$75,2,FALSE)</f>
        <v>#N/A</v>
      </c>
      <c r="AK41" s="1" t="e">
        <f>VLOOKUP('Saisie immeuble'!E38,Feuil1!$G$58:$I$75,3,FALSE)</f>
        <v>#N/A</v>
      </c>
      <c r="AL41" s="98" t="e">
        <f>IF(AK41="élec",V41,IF(AK41="gaz",AB41,IF(AK41="fioul",'Référence&amp;tarifs'!$B$25,IF(AK41="bois buche",'Référence&amp;tarifs'!$B$23,IF(AK41="bois granulés",'Référence&amp;tarifs'!$B$24,IF(AK41=I85,0.8*('Référence&amp;tarifs'!$B$23+'Référence&amp;tarifs'!B43)/2+0.2*Feuil1!AB41,0))))))</f>
        <v>#N/A</v>
      </c>
      <c r="AM41" s="52">
        <f>IF('Saisie immeuble'!I38+'Saisie immeuble'!J38&gt;0,Feuil1!$AM$13+2*('Saisie immeuble'!I38+'Saisie immeuble'!J38-1),0)</f>
        <v>0</v>
      </c>
      <c r="AN41" s="1">
        <f>IF('Saisie immeuble'!I38+'Saisie immeuble'!J38&gt;0,Feuil1!$AN$13*('Saisie immeuble'!I38+'Saisie immeuble'!J38),0)</f>
        <v>0</v>
      </c>
      <c r="AO41" s="1">
        <f>IF('Saisie immeuble'!I38+'Saisie immeuble'!J38&gt;0,Feuil1!$AO$13+3*('Saisie immeuble'!I38+'Saisie immeuble'!J38-1),0)</f>
        <v>0</v>
      </c>
      <c r="AP41" s="1">
        <f>IF('Saisie immeuble'!I38+'Saisie immeuble'!J38&gt;0,Feuil1!$AP$13+2*('Saisie immeuble'!I38+'Saisie immeuble'!J38-1),0)</f>
        <v>0</v>
      </c>
      <c r="AQ41" s="1">
        <f>IF('Saisie immeuble'!I38+'Saisie immeuble'!J38&gt;0,Feuil1!$AQ$13*('Saisie immeuble'!I38+'Saisie immeuble'!J38),0)</f>
        <v>0</v>
      </c>
      <c r="AR41" s="1">
        <f t="shared" si="9"/>
        <v>0</v>
      </c>
      <c r="AS41" s="99" t="e">
        <f>AR41*'Saisie immeuble'!$F$8+IF(AND(R41&lt;&gt;"gaz",(S41="gaz")),AA41,0)</f>
        <v>#N/A</v>
      </c>
      <c r="AT41" s="52">
        <f>IF('Saisie immeuble'!I38+'Saisie immeuble'!J38&gt;0,1100+700*('Saisie immeuble'!I38+'Saisie immeuble'!J38-1),0)</f>
        <v>0</v>
      </c>
      <c r="AU41" s="3" t="e">
        <f>IF(AW41="élec",Feuil1!V41,IF(AW41="gaz",Feuil1!AB41,IF(AW41="fioul",'Référence&amp;tarifs'!$B$25,IF(AW41="bois",('Référence&amp;tarifs'!$B$23+'Référence&amp;tarifs'!$B$24)/2,0))))</f>
        <v>#N/A</v>
      </c>
      <c r="AV41" s="1" t="e">
        <f>VLOOKUP('Saisie immeuble'!F38,Feuil1!$Q$57:$U$70,4,FALSE)</f>
        <v>#N/A</v>
      </c>
      <c r="AW41" s="1" t="e">
        <f>VLOOKUP('Saisie immeuble'!F38,Feuil1!$Q$57:$U$70,5,FALSE)</f>
        <v>#N/A</v>
      </c>
      <c r="AX41" s="97" t="e">
        <f t="shared" si="10"/>
        <v>#N/A</v>
      </c>
    </row>
    <row r="42" spans="2:50" x14ac:dyDescent="0.3">
      <c r="B42" s="52" t="s">
        <v>237</v>
      </c>
      <c r="C42" s="1">
        <f>IF('Saisie immeuble'!D39=Feuil1!$B$4,4,IF(AND('Saisie immeuble'!D39=$B$5,('Saisie immeuble'!$C$4=Feuil1!$C$5)),5,IF(AND('Saisie immeuble'!D39=$B$5,('Saisie immeuble'!$C$4=Feuil1!$C$6)),6,IF(AND('Saisie immeuble'!D39=Feuil1!$B$7,('Saisie immeuble'!$C$4=Feuil1!$C$7)),7,IF(AND('Saisie immeuble'!D39=Feuil1!$B$7,('Saisie immeuble'!$C$4=Feuil1!$C$8)),8,0)))))</f>
        <v>0</v>
      </c>
      <c r="D42" s="90" t="e">
        <f>HLOOKUP('Saisie immeuble'!$C$3,Feuil1!$D$1:$BM$8,Feuil1!C42,FALSE)</f>
        <v>#N/A</v>
      </c>
      <c r="E42" s="1" t="e">
        <f>HLOOKUP('Saisie immeuble'!$C$3,Feuil1!$D$1:$BM$8,3,FALSE)</f>
        <v>#N/A</v>
      </c>
      <c r="F42" s="1" t="e">
        <f>IF(E42=1,450+'Saisie immeuble'!C39*6,IF(E42=2,300+'Saisie immeuble'!C39*5,150+'Saisie immeuble'!C39*3))</f>
        <v>#N/A</v>
      </c>
      <c r="G42" s="1" t="e">
        <f>IF(E42=1,1400+'Saisie immeuble'!C39*6,IF(E42=2,1100+'Saisie immeuble'!C39*6,500+'Saisie immeuble'!C39*6))</f>
        <v>#N/A</v>
      </c>
      <c r="H42" s="90">
        <f>IF('Saisie immeuble'!$C$6="oui",IF('Saisie immeuble'!D39="dernier étage",IF(Feuil1!E42=1,0.4*Feuil1!D42,IF(Feuil1!E42=2,0.35*Feuil1!D42,IF(Feuil1!E42=3,0.3*Feuil1!D42,0))),0),0)</f>
        <v>0</v>
      </c>
      <c r="I42" s="90">
        <f>IF('Saisie immeuble'!$C$7="oui",IF(AND(Feuil1!E42=1,('Saisie immeuble'!$C$4=Feuil1!$C$5)),0.3*Feuil1!D42,IF(AND(Feuil1!E42=1,('Saisie immeuble'!$C$4=Feuil1!$C$6)),0.2*Feuil1!D42,IF(AND(Feuil1!E42=2,('Saisie immeuble'!$C$4=Feuil1!$C$5)),0.25*Feuil1!D42,IF(AND(Feuil1!E42=2,('Saisie immeuble'!$C$4=Feuil1!$C$6)),0.15*Feuil1!D42,IF(AND(Feuil1!E42=3,('Saisie immeuble'!$C$4=Feuil1!$C$5)),0.2*Feuil1!D42,IF(AND(Feuil1!E42=3,('Saisie immeuble'!$C$4=Feuil1!$C$6)),0.12*Feuil1!D42)))))),0)</f>
        <v>0</v>
      </c>
      <c r="J42" s="90">
        <f>IF('Saisie immeuble'!$C$8="oui",IF(AND(Feuil1!E42=1,('Saisie immeuble'!$C$4=Feuil1!$C$5)),0.22*Feuil1!D42,IF(AND(Feuil1!E42=1,('Saisie immeuble'!$C$4=Feuil1!$C$6)),0.14*Feuil1!D42,IF(AND(Feuil1!E42=2,('Saisie immeuble'!$C$4=Feuil1!$C$5)),0.2*Feuil1!D42,IF(AND(Feuil1!E42=2,('Saisie immeuble'!$C$4=Feuil1!$C$6)),0.12*Feuil1!D42,IF(AND(Feuil1!E42=3,('Saisie immeuble'!$C$4=Feuil1!$C$5)),0.16*Feuil1!D42,IF(AND(Feuil1!E42=3,('Saisie immeuble'!$C$4=Feuil1!$C$6)),0.1*Feuil1!D42)))))),0)</f>
        <v>0</v>
      </c>
      <c r="K42" s="90">
        <f>IF('Saisie immeuble'!$F$7="oui",IF('Saisie immeuble'!D39="rez de chaussée",IF(Feuil1!E42=1,0.2*Feuil1!D42,IF(Feuil1!E42=2,0.16*Feuil1!D42,IF(Feuil1!E42=3,0.12*Feuil1!D42,0))),0),0)</f>
        <v>0</v>
      </c>
      <c r="L42" s="1">
        <f>IF('Saisie immeuble'!C39&gt;0,IF('Saisie immeuble'!C39&gt;57,('Saisie immeuble'!C39-57)*55,('Saisie immeuble'!C39-57)*35),0)</f>
        <v>0</v>
      </c>
      <c r="M42" s="1">
        <f>IF('Saisie immeuble'!C39&gt;0,IF('Saisie immeuble'!$H$7=Feuil1!$B$78,IF(Feuil1!E42=1,700,IF(Feuil1!E42=2,550,400)),IF('Saisie immeuble'!$H$7=Feuil1!$B$79,IF(Feuil1!E42=1,350,IF(Feuil1!E42=2,275,200)),0))*(1-((57-'Saisie immeuble'!C39)/100)),0)</f>
        <v>0</v>
      </c>
      <c r="N42" s="90" t="e">
        <f>D42-IF('Saisie immeuble'!G39=Feuil1!$B$68,Feuil1!F42,IF('Saisie immeuble'!G39=Feuil1!$B$69,G42,0))-H42-I42-J42+L42-K42+M42</f>
        <v>#N/A</v>
      </c>
      <c r="O42" s="100" t="e">
        <f t="shared" si="6"/>
        <v>#N/A</v>
      </c>
      <c r="P42" s="90" t="e">
        <f>IF('Saisie immeuble'!$C$5="individuel",N42/AJ42,O42/AJ42)</f>
        <v>#N/A</v>
      </c>
      <c r="Q42" s="99" t="e">
        <f t="shared" si="7"/>
        <v>#N/A</v>
      </c>
      <c r="R42" s="52" t="e">
        <f>VLOOKUP('Saisie immeuble'!E39,Feuil1!$G$58:$I$75,3,0)</f>
        <v>#N/A</v>
      </c>
      <c r="S42" s="1" t="e">
        <f>VLOOKUP('Saisie immeuble'!F39,Feuil1!$Q$57:$U$70,5,FALSE)</f>
        <v>#N/A</v>
      </c>
      <c r="T42" s="1" t="e">
        <f>IF(AND(R42&lt;&gt;"élec",(S42&lt;&gt;"élec"),('Saisie immeuble'!C39&lt;40)),'Référence&amp;tarifs'!$A$6,IF(AND(R42="élec",(S42="élec")),'Référence&amp;tarifs'!$A$8,'Référence&amp;tarifs'!$A$7))</f>
        <v>#N/A</v>
      </c>
      <c r="U42" s="1" t="e">
        <f>VLOOKUP(T42,'Référence&amp;tarifs'!$A$6:$C$10,2,FALSE)</f>
        <v>#N/A</v>
      </c>
      <c r="V42" s="1" t="e">
        <f>VLOOKUP(T42,'Référence&amp;tarifs'!$A$6:$C$10,3,FALSE)</f>
        <v>#N/A</v>
      </c>
      <c r="W42" s="1"/>
      <c r="X42" s="51" t="e">
        <f>IF('Résultat immeuble'!S27&lt;1.1,HLOOKUP(Feuil1!T42,'Référence&amp;tarifs'!#REF!,2,FALSE),IF('Résultat immeuble'!S27&gt;1.9,HLOOKUP(Feuil1!T42,'Référence&amp;tarifs'!#REF!,4,FALSE),HLOOKUP(Feuil1!T42,'Référence&amp;tarifs'!#REF!,3,FALSE)))</f>
        <v>#N/A</v>
      </c>
      <c r="Y42" s="52" t="e">
        <f>IF(R42="gaz",N42,0)+IF(S42="gaz",AT42,0)+IF('Saisie immeuble'!H39="gaz de ville",Feuil1!AH42,0)</f>
        <v>#N/A</v>
      </c>
      <c r="Z42" s="1" t="e">
        <f>IF(Y42&lt;1000,'Référence&amp;tarifs'!$A$16,IF(Y42&gt;5999,'Référence&amp;tarifs'!$A$18,'Référence&amp;tarifs'!$A$17))</f>
        <v>#N/A</v>
      </c>
      <c r="AA42" s="1" t="e">
        <f>VLOOKUP(Z42,'Référence&amp;tarifs'!$A$16:$C$18,2,FALSE)</f>
        <v>#N/A</v>
      </c>
      <c r="AB42" s="1" t="e">
        <f>VLOOKUP(Z42,'Référence&amp;tarifs'!$A$16:$C$18,3,FALSE)</f>
        <v>#N/A</v>
      </c>
      <c r="AC42" s="58" t="b">
        <f>IF('Saisie immeuble'!$C$5="individuel",IF('Résultat immeuble'!S27=1,HLOOKUP(Feuil1!Z42,'Référence&amp;tarifs'!#REF!,2,FALSE),IF('Résultat immeuble'!S27&gt;1.9,HLOOKUP(Feuil1!Z42,'Référence&amp;tarifs'!#REF!,4,FALSE),HLOOKUP(Feuil1!Z42,'Référence&amp;tarifs'!#REF!,3,FALSE))),IF('Saisie immeuble'!$C$5="collectif",IF('Résultat immeuble'!S27=1,'Référence&amp;tarifs'!#REF!,IF('Résultat immeuble'!S27&gt;1.9,'Référence&amp;tarifs'!#REF!,IF(AND('Résultat immeuble'!S27&lt;2,('Résultat immeuble'!S27&gt;1)),'Référence&amp;tarifs'!#REF!,0)))))</f>
        <v>0</v>
      </c>
      <c r="AD42" s="109">
        <f>IF('Saisie immeuble'!I39+'Saisie immeuble'!J39&gt;0,18*'Saisie immeuble'!C39+3.5*('Saisie immeuble'!I39+'Saisie immeuble'!J39-1)*'Saisie immeuble'!C39,0)</f>
        <v>0</v>
      </c>
      <c r="AE42" s="110"/>
      <c r="AF42" s="111"/>
      <c r="AG42" s="97" t="e">
        <f t="shared" si="8"/>
        <v>#N/A</v>
      </c>
      <c r="AH42" s="52">
        <f>IF('Saisie immeuble'!I39+'Saisie immeuble'!J39&gt;0,350+80*('Saisie immeuble'!I39+'Saisie immeuble'!J39-1),0)</f>
        <v>0</v>
      </c>
      <c r="AI42" s="97" t="e">
        <f>IF('Saisie immeuble'!H39="gaz de ville",Feuil1!AB42,IF('Saisie immeuble'!H39=$B$72,V42,0))*Feuil1!AH42+IF(AND(R42&lt;&gt;"gaz",(S42&lt;&gt;"gaz"),('Saisie immeuble'!H39="gaz de ville")),Feuil1!AA42,0)</f>
        <v>#N/A</v>
      </c>
      <c r="AJ42" s="52" t="e">
        <f>VLOOKUP('Saisie immeuble'!E39,Feuil1!$G$58:$I$75,2,FALSE)</f>
        <v>#N/A</v>
      </c>
      <c r="AK42" s="1" t="e">
        <f>VLOOKUP('Saisie immeuble'!E39,Feuil1!$G$58:$I$75,3,FALSE)</f>
        <v>#N/A</v>
      </c>
      <c r="AL42" s="98" t="e">
        <f>IF(AK42="élec",V42,IF(AK42="gaz",AB42,IF(AK42="fioul",'Référence&amp;tarifs'!$B$25,IF(AK42="bois buche",'Référence&amp;tarifs'!$B$23,IF(AK42="bois granulés",'Référence&amp;tarifs'!$B$24,IF(AK42=I86,0.8*('Référence&amp;tarifs'!$B$23+'Référence&amp;tarifs'!B44)/2+0.2*Feuil1!AB42,0))))))</f>
        <v>#N/A</v>
      </c>
      <c r="AM42" s="52">
        <f>IF('Saisie immeuble'!I39+'Saisie immeuble'!J39&gt;0,Feuil1!$AM$13+2*('Saisie immeuble'!I39+'Saisie immeuble'!J39-1),0)</f>
        <v>0</v>
      </c>
      <c r="AN42" s="1">
        <f>IF('Saisie immeuble'!I39+'Saisie immeuble'!J39&gt;0,Feuil1!$AN$13*('Saisie immeuble'!I39+'Saisie immeuble'!J39),0)</f>
        <v>0</v>
      </c>
      <c r="AO42" s="1">
        <f>IF('Saisie immeuble'!I39+'Saisie immeuble'!J39&gt;0,Feuil1!$AO$13+3*('Saisie immeuble'!I39+'Saisie immeuble'!J39-1),0)</f>
        <v>0</v>
      </c>
      <c r="AP42" s="1">
        <f>IF('Saisie immeuble'!I39+'Saisie immeuble'!J39&gt;0,Feuil1!$AP$13+2*('Saisie immeuble'!I39+'Saisie immeuble'!J39-1),0)</f>
        <v>0</v>
      </c>
      <c r="AQ42" s="1">
        <f>IF('Saisie immeuble'!I39+'Saisie immeuble'!J39&gt;0,Feuil1!$AQ$13*('Saisie immeuble'!I39+'Saisie immeuble'!J39),0)</f>
        <v>0</v>
      </c>
      <c r="AR42" s="1">
        <f t="shared" si="9"/>
        <v>0</v>
      </c>
      <c r="AS42" s="99" t="e">
        <f>AR42*'Saisie immeuble'!$F$8+IF(AND(R42&lt;&gt;"gaz",(S42="gaz")),AA42,0)</f>
        <v>#N/A</v>
      </c>
      <c r="AT42" s="52">
        <f>IF('Saisie immeuble'!I39+'Saisie immeuble'!J39&gt;0,1100+700*('Saisie immeuble'!I39+'Saisie immeuble'!J39-1),0)</f>
        <v>0</v>
      </c>
      <c r="AU42" s="3" t="e">
        <f>IF(AW42="élec",Feuil1!V42,IF(AW42="gaz",Feuil1!AB42,IF(AW42="fioul",'Référence&amp;tarifs'!$B$25,IF(AW42="bois",('Référence&amp;tarifs'!$B$23+'Référence&amp;tarifs'!$B$24)/2,0))))</f>
        <v>#N/A</v>
      </c>
      <c r="AV42" s="1" t="e">
        <f>VLOOKUP('Saisie immeuble'!F39,Feuil1!$Q$57:$U$70,4,FALSE)</f>
        <v>#N/A</v>
      </c>
      <c r="AW42" s="1" t="e">
        <f>VLOOKUP('Saisie immeuble'!F39,Feuil1!$Q$57:$U$70,5,FALSE)</f>
        <v>#N/A</v>
      </c>
      <c r="AX42" s="97" t="e">
        <f t="shared" si="10"/>
        <v>#N/A</v>
      </c>
    </row>
    <row r="43" spans="2:50" x14ac:dyDescent="0.3">
      <c r="B43" s="52" t="s">
        <v>238</v>
      </c>
      <c r="C43" s="1">
        <f>IF('Saisie immeuble'!D40=Feuil1!$B$4,4,IF(AND('Saisie immeuble'!D40=$B$5,('Saisie immeuble'!$C$4=Feuil1!$C$5)),5,IF(AND('Saisie immeuble'!D40=$B$5,('Saisie immeuble'!$C$4=Feuil1!$C$6)),6,IF(AND('Saisie immeuble'!D40=Feuil1!$B$7,('Saisie immeuble'!$C$4=Feuil1!$C$7)),7,IF(AND('Saisie immeuble'!D40=Feuil1!$B$7,('Saisie immeuble'!$C$4=Feuil1!$C$8)),8,0)))))</f>
        <v>0</v>
      </c>
      <c r="D43" s="90" t="e">
        <f>HLOOKUP('Saisie immeuble'!$C$3,Feuil1!$D$1:$BM$8,Feuil1!C43,FALSE)</f>
        <v>#N/A</v>
      </c>
      <c r="E43" s="1" t="e">
        <f>HLOOKUP('Saisie immeuble'!$C$3,Feuil1!$D$1:$BM$8,3,FALSE)</f>
        <v>#N/A</v>
      </c>
      <c r="F43" s="1" t="e">
        <f>IF(E43=1,450+'Saisie immeuble'!C40*6,IF(E43=2,300+'Saisie immeuble'!C40*5,150+'Saisie immeuble'!C40*3))</f>
        <v>#N/A</v>
      </c>
      <c r="G43" s="1" t="e">
        <f>IF(E43=1,1400+'Saisie immeuble'!C40*6,IF(E43=2,1100+'Saisie immeuble'!C40*6,500+'Saisie immeuble'!C40*6))</f>
        <v>#N/A</v>
      </c>
      <c r="H43" s="90">
        <f>IF('Saisie immeuble'!$C$6="oui",IF('Saisie immeuble'!D40="dernier étage",IF(Feuil1!E43=1,0.4*Feuil1!D43,IF(Feuil1!E43=2,0.35*Feuil1!D43,IF(Feuil1!E43=3,0.3*Feuil1!D43,0))),0),0)</f>
        <v>0</v>
      </c>
      <c r="I43" s="90">
        <f>IF('Saisie immeuble'!$C$7="oui",IF(AND(Feuil1!E43=1,('Saisie immeuble'!$C$4=Feuil1!$C$5)),0.3*Feuil1!D43,IF(AND(Feuil1!E43=1,('Saisie immeuble'!$C$4=Feuil1!$C$6)),0.2*Feuil1!D43,IF(AND(Feuil1!E43=2,('Saisie immeuble'!$C$4=Feuil1!$C$5)),0.25*Feuil1!D43,IF(AND(Feuil1!E43=2,('Saisie immeuble'!$C$4=Feuil1!$C$6)),0.15*Feuil1!D43,IF(AND(Feuil1!E43=3,('Saisie immeuble'!$C$4=Feuil1!$C$5)),0.2*Feuil1!D43,IF(AND(Feuil1!E43=3,('Saisie immeuble'!$C$4=Feuil1!$C$6)),0.12*Feuil1!D43)))))),0)</f>
        <v>0</v>
      </c>
      <c r="J43" s="90">
        <f>IF('Saisie immeuble'!$C$8="oui",IF(AND(Feuil1!E43=1,('Saisie immeuble'!$C$4=Feuil1!$C$5)),0.22*Feuil1!D43,IF(AND(Feuil1!E43=1,('Saisie immeuble'!$C$4=Feuil1!$C$6)),0.14*Feuil1!D43,IF(AND(Feuil1!E43=2,('Saisie immeuble'!$C$4=Feuil1!$C$5)),0.2*Feuil1!D43,IF(AND(Feuil1!E43=2,('Saisie immeuble'!$C$4=Feuil1!$C$6)),0.12*Feuil1!D43,IF(AND(Feuil1!E43=3,('Saisie immeuble'!$C$4=Feuil1!$C$5)),0.16*Feuil1!D43,IF(AND(Feuil1!E43=3,('Saisie immeuble'!$C$4=Feuil1!$C$6)),0.1*Feuil1!D43)))))),0)</f>
        <v>0</v>
      </c>
      <c r="K43" s="90">
        <f>IF('Saisie immeuble'!$F$7="oui",IF('Saisie immeuble'!D40="rez de chaussée",IF(Feuil1!E43=1,0.2*Feuil1!D43,IF(Feuil1!E43=2,0.16*Feuil1!D43,IF(Feuil1!E43=3,0.12*Feuil1!D43,0))),0),0)</f>
        <v>0</v>
      </c>
      <c r="L43" s="1">
        <f>IF('Saisie immeuble'!C40&gt;0,IF('Saisie immeuble'!C40&gt;57,('Saisie immeuble'!C40-57)*55,('Saisie immeuble'!C40-57)*35),0)</f>
        <v>0</v>
      </c>
      <c r="M43" s="1">
        <f>IF('Saisie immeuble'!C40&gt;0,IF('Saisie immeuble'!$H$7=Feuil1!$B$78,IF(Feuil1!E43=1,700,IF(Feuil1!E43=2,550,400)),IF('Saisie immeuble'!$H$7=Feuil1!$B$79,IF(Feuil1!E43=1,350,IF(Feuil1!E43=2,275,200)),0))*(1-((57-'Saisie immeuble'!C40)/100)),0)</f>
        <v>0</v>
      </c>
      <c r="N43" s="90" t="e">
        <f>D43-IF('Saisie immeuble'!G40=Feuil1!$B$68,Feuil1!F43,IF('Saisie immeuble'!G40=Feuil1!$B$69,G43,0))-H43-I43-J43+L43-K43+M43</f>
        <v>#N/A</v>
      </c>
      <c r="O43" s="100" t="e">
        <f t="shared" si="6"/>
        <v>#N/A</v>
      </c>
      <c r="P43" s="90" t="e">
        <f>IF('Saisie immeuble'!$C$5="individuel",N43/AJ43,O43/AJ43)</f>
        <v>#N/A</v>
      </c>
      <c r="Q43" s="99" t="e">
        <f t="shared" si="7"/>
        <v>#N/A</v>
      </c>
      <c r="R43" s="52" t="e">
        <f>VLOOKUP('Saisie immeuble'!E40,Feuil1!$G$58:$I$75,3,0)</f>
        <v>#N/A</v>
      </c>
      <c r="S43" s="1" t="e">
        <f>VLOOKUP('Saisie immeuble'!F40,Feuil1!$Q$57:$U$70,5,FALSE)</f>
        <v>#N/A</v>
      </c>
      <c r="T43" s="1" t="e">
        <f>IF(AND(R43&lt;&gt;"élec",(S43&lt;&gt;"élec"),('Saisie immeuble'!C40&lt;40)),'Référence&amp;tarifs'!$A$6,IF(AND(R43="élec",(S43="élec")),'Référence&amp;tarifs'!$A$8,'Référence&amp;tarifs'!$A$7))</f>
        <v>#N/A</v>
      </c>
      <c r="U43" s="1" t="e">
        <f>VLOOKUP(T43,'Référence&amp;tarifs'!$A$6:$C$10,2,FALSE)</f>
        <v>#N/A</v>
      </c>
      <c r="V43" s="1" t="e">
        <f>VLOOKUP(T43,'Référence&amp;tarifs'!$A$6:$C$10,3,FALSE)</f>
        <v>#N/A</v>
      </c>
      <c r="W43" s="1"/>
      <c r="X43" s="51" t="e">
        <f>IF('Résultat immeuble'!#REF!&lt;1.1,HLOOKUP(Feuil1!T43,'Référence&amp;tarifs'!#REF!,2,FALSE),IF('Résultat immeuble'!#REF!&gt;1.9,HLOOKUP(Feuil1!T43,'Référence&amp;tarifs'!#REF!,4,FALSE),HLOOKUP(Feuil1!T43,'Référence&amp;tarifs'!#REF!,3,FALSE)))</f>
        <v>#REF!</v>
      </c>
      <c r="Y43" s="52" t="e">
        <f>IF(R43="gaz",N43,0)+IF(S43="gaz",AT43,0)+IF('Saisie immeuble'!H40="gaz de ville",Feuil1!AH43,0)</f>
        <v>#N/A</v>
      </c>
      <c r="Z43" s="1" t="e">
        <f>IF(Y43&lt;1000,'Référence&amp;tarifs'!$A$16,IF(Y43&gt;5999,'Référence&amp;tarifs'!$A$18,'Référence&amp;tarifs'!$A$17))</f>
        <v>#N/A</v>
      </c>
      <c r="AA43" s="1" t="e">
        <f>VLOOKUP(Z43,'Référence&amp;tarifs'!$A$16:$C$18,2,FALSE)</f>
        <v>#N/A</v>
      </c>
      <c r="AB43" s="1" t="e">
        <f>VLOOKUP(Z43,'Référence&amp;tarifs'!$A$16:$C$18,3,FALSE)</f>
        <v>#N/A</v>
      </c>
      <c r="AC43" s="58" t="b">
        <f>IF('Saisie immeuble'!$C$5="individuel",IF('Résultat immeuble'!#REF!=1,HLOOKUP(Feuil1!Z43,'Référence&amp;tarifs'!#REF!,2,FALSE),IF('Résultat immeuble'!#REF!&gt;1.9,HLOOKUP(Feuil1!Z43,'Référence&amp;tarifs'!#REF!,4,FALSE),HLOOKUP(Feuil1!Z43,'Référence&amp;tarifs'!#REF!,3,FALSE))),IF('Saisie immeuble'!$C$5="collectif",IF('Résultat immeuble'!#REF!=1,'Référence&amp;tarifs'!#REF!,IF('Résultat immeuble'!#REF!&gt;1.9,'Référence&amp;tarifs'!#REF!,IF(AND('Résultat immeuble'!#REF!&lt;2,('Résultat immeuble'!#REF!&gt;1)),'Référence&amp;tarifs'!#REF!,0)))))</f>
        <v>0</v>
      </c>
      <c r="AD43" s="109">
        <f>IF('Saisie immeuble'!I40+'Saisie immeuble'!J40&gt;0,18*'Saisie immeuble'!C40+3.5*('Saisie immeuble'!I40+'Saisie immeuble'!J40-1)*'Saisie immeuble'!C40,0)</f>
        <v>0</v>
      </c>
      <c r="AE43" s="110"/>
      <c r="AF43" s="111"/>
      <c r="AG43" s="97" t="e">
        <f t="shared" si="8"/>
        <v>#N/A</v>
      </c>
      <c r="AH43" s="52">
        <f>IF('Saisie immeuble'!I40+'Saisie immeuble'!J40&gt;0,350+80*('Saisie immeuble'!I40+'Saisie immeuble'!J40-1),0)</f>
        <v>0</v>
      </c>
      <c r="AI43" s="97" t="e">
        <f>IF('Saisie immeuble'!H40="gaz de ville",Feuil1!AB43,IF('Saisie immeuble'!H40=$B$72,V43,0))*Feuil1!AH43+IF(AND(R43&lt;&gt;"gaz",(S43&lt;&gt;"gaz"),('Saisie immeuble'!H40="gaz de ville")),Feuil1!AA43,0)</f>
        <v>#N/A</v>
      </c>
      <c r="AJ43" s="52" t="e">
        <f>VLOOKUP('Saisie immeuble'!E40,Feuil1!$G$58:$I$75,2,FALSE)</f>
        <v>#N/A</v>
      </c>
      <c r="AK43" s="1" t="e">
        <f>VLOOKUP('Saisie immeuble'!E40,Feuil1!$G$58:$I$75,3,FALSE)</f>
        <v>#N/A</v>
      </c>
      <c r="AL43" s="98" t="e">
        <f>IF(AK43="élec",V43,IF(AK43="gaz",AB43,IF(AK43="fioul",'Référence&amp;tarifs'!$B$25,IF(AK43="bois buche",'Référence&amp;tarifs'!$B$23,IF(AK43="bois granulés",'Référence&amp;tarifs'!$B$24,IF(AK43=I87,0.8*('Référence&amp;tarifs'!$B$23+'Référence&amp;tarifs'!B45)/2+0.2*Feuil1!AB43,0))))))</f>
        <v>#N/A</v>
      </c>
      <c r="AM43" s="52">
        <f>IF('Saisie immeuble'!I40+'Saisie immeuble'!J40&gt;0,Feuil1!$AM$13+2*('Saisie immeuble'!I40+'Saisie immeuble'!J40-1),0)</f>
        <v>0</v>
      </c>
      <c r="AN43" s="1">
        <f>IF('Saisie immeuble'!I40+'Saisie immeuble'!J40&gt;0,Feuil1!$AN$13*('Saisie immeuble'!I40+'Saisie immeuble'!J40),0)</f>
        <v>0</v>
      </c>
      <c r="AO43" s="1">
        <f>IF('Saisie immeuble'!I40+'Saisie immeuble'!J40&gt;0,Feuil1!$AO$13+3*('Saisie immeuble'!I40+'Saisie immeuble'!J40-1),0)</f>
        <v>0</v>
      </c>
      <c r="AP43" s="1">
        <f>IF('Saisie immeuble'!I40+'Saisie immeuble'!J40&gt;0,Feuil1!$AP$13+2*('Saisie immeuble'!I40+'Saisie immeuble'!J40-1),0)</f>
        <v>0</v>
      </c>
      <c r="AQ43" s="1">
        <f>IF('Saisie immeuble'!I40+'Saisie immeuble'!J40&gt;0,Feuil1!$AQ$13*('Saisie immeuble'!I40+'Saisie immeuble'!J40),0)</f>
        <v>0</v>
      </c>
      <c r="AR43" s="1">
        <f t="shared" si="9"/>
        <v>0</v>
      </c>
      <c r="AS43" s="99" t="e">
        <f>AR43*'Saisie immeuble'!$F$8+IF(AND(R43&lt;&gt;"gaz",(S43="gaz")),AA43,0)</f>
        <v>#N/A</v>
      </c>
      <c r="AT43" s="52">
        <f>IF('Saisie immeuble'!I40+'Saisie immeuble'!J40&gt;0,1100+700*('Saisie immeuble'!I40+'Saisie immeuble'!J40-1),0)</f>
        <v>0</v>
      </c>
      <c r="AU43" s="3" t="e">
        <f>IF(AW43="élec",Feuil1!V43,IF(AW43="gaz",Feuil1!AB43,IF(AW43="fioul",'Référence&amp;tarifs'!$B$25,IF(AW43="bois",('Référence&amp;tarifs'!$B$23+'Référence&amp;tarifs'!$B$24)/2,0))))</f>
        <v>#N/A</v>
      </c>
      <c r="AV43" s="1" t="e">
        <f>VLOOKUP('Saisie immeuble'!F40,Feuil1!$Q$57:$U$70,4,FALSE)</f>
        <v>#N/A</v>
      </c>
      <c r="AW43" s="1" t="e">
        <f>VLOOKUP('Saisie immeuble'!F40,Feuil1!$Q$57:$U$70,5,FALSE)</f>
        <v>#N/A</v>
      </c>
      <c r="AX43" s="97" t="e">
        <f t="shared" si="10"/>
        <v>#N/A</v>
      </c>
    </row>
    <row r="44" spans="2:50" x14ac:dyDescent="0.3">
      <c r="B44" s="52" t="s">
        <v>239</v>
      </c>
      <c r="C44" s="1">
        <f>IF('Saisie immeuble'!D41=Feuil1!$B$4,4,IF(AND('Saisie immeuble'!D41=$B$5,('Saisie immeuble'!$C$4=Feuil1!$C$5)),5,IF(AND('Saisie immeuble'!D41=$B$5,('Saisie immeuble'!$C$4=Feuil1!$C$6)),6,IF(AND('Saisie immeuble'!D41=Feuil1!$B$7,('Saisie immeuble'!$C$4=Feuil1!$C$7)),7,IF(AND('Saisie immeuble'!D41=Feuil1!$B$7,('Saisie immeuble'!$C$4=Feuil1!$C$8)),8,0)))))</f>
        <v>0</v>
      </c>
      <c r="D44" s="90" t="e">
        <f>HLOOKUP('Saisie immeuble'!$C$3,Feuil1!$D$1:$BM$8,Feuil1!C44,FALSE)</f>
        <v>#N/A</v>
      </c>
      <c r="E44" s="1" t="e">
        <f>HLOOKUP('Saisie immeuble'!$C$3,Feuil1!$D$1:$BM$8,3,FALSE)</f>
        <v>#N/A</v>
      </c>
      <c r="F44" s="1" t="e">
        <f>IF(E44=1,450+'Saisie immeuble'!C41*6,IF(E44=2,300+'Saisie immeuble'!C41*5,150+'Saisie immeuble'!C41*3))</f>
        <v>#N/A</v>
      </c>
      <c r="G44" s="1" t="e">
        <f>IF(E44=1,1400+'Saisie immeuble'!C41*6,IF(E44=2,1100+'Saisie immeuble'!C41*6,500+'Saisie immeuble'!C41*6))</f>
        <v>#N/A</v>
      </c>
      <c r="H44" s="90">
        <f>IF('Saisie immeuble'!$C$6="oui",IF('Saisie immeuble'!D41="dernier étage",IF(Feuil1!E44=1,0.4*Feuil1!D44,IF(Feuil1!E44=2,0.35*Feuil1!D44,IF(Feuil1!E44=3,0.3*Feuil1!D44,0))),0),0)</f>
        <v>0</v>
      </c>
      <c r="I44" s="90">
        <f>IF('Saisie immeuble'!$C$7="oui",IF(AND(Feuil1!E44=1,('Saisie immeuble'!$C$4=Feuil1!$C$5)),0.3*Feuil1!D44,IF(AND(Feuil1!E44=1,('Saisie immeuble'!$C$4=Feuil1!$C$6)),0.2*Feuil1!D44,IF(AND(Feuil1!E44=2,('Saisie immeuble'!$C$4=Feuil1!$C$5)),0.25*Feuil1!D44,IF(AND(Feuil1!E44=2,('Saisie immeuble'!$C$4=Feuil1!$C$6)),0.15*Feuil1!D44,IF(AND(Feuil1!E44=3,('Saisie immeuble'!$C$4=Feuil1!$C$5)),0.2*Feuil1!D44,IF(AND(Feuil1!E44=3,('Saisie immeuble'!$C$4=Feuil1!$C$6)),0.12*Feuil1!D44)))))),0)</f>
        <v>0</v>
      </c>
      <c r="J44" s="90">
        <f>IF('Saisie immeuble'!$C$8="oui",IF(AND(Feuil1!E44=1,('Saisie immeuble'!$C$4=Feuil1!$C$5)),0.22*Feuil1!D44,IF(AND(Feuil1!E44=1,('Saisie immeuble'!$C$4=Feuil1!$C$6)),0.14*Feuil1!D44,IF(AND(Feuil1!E44=2,('Saisie immeuble'!$C$4=Feuil1!$C$5)),0.2*Feuil1!D44,IF(AND(Feuil1!E44=2,('Saisie immeuble'!$C$4=Feuil1!$C$6)),0.12*Feuil1!D44,IF(AND(Feuil1!E44=3,('Saisie immeuble'!$C$4=Feuil1!$C$5)),0.16*Feuil1!D44,IF(AND(Feuil1!E44=3,('Saisie immeuble'!$C$4=Feuil1!$C$6)),0.1*Feuil1!D44)))))),0)</f>
        <v>0</v>
      </c>
      <c r="K44" s="90">
        <f>IF('Saisie immeuble'!$F$7="oui",IF('Saisie immeuble'!D41="rez de chaussée",IF(Feuil1!E44=1,0.2*Feuil1!D44,IF(Feuil1!E44=2,0.16*Feuil1!D44,IF(Feuil1!E44=3,0.12*Feuil1!D44,0))),0),0)</f>
        <v>0</v>
      </c>
      <c r="L44" s="1">
        <f>IF('Saisie immeuble'!C41&gt;0,IF('Saisie immeuble'!C41&gt;57,('Saisie immeuble'!C41-57)*55,('Saisie immeuble'!C41-57)*35),0)</f>
        <v>0</v>
      </c>
      <c r="M44" s="1">
        <f>IF('Saisie immeuble'!C41&gt;0,IF('Saisie immeuble'!$H$7=Feuil1!$B$78,IF(Feuil1!E44=1,700,IF(Feuil1!E44=2,550,400)),IF('Saisie immeuble'!$H$7=Feuil1!$B$79,IF(Feuil1!E44=1,350,IF(Feuil1!E44=2,275,200)),0))*(1-((57-'Saisie immeuble'!C41)/100)),0)</f>
        <v>0</v>
      </c>
      <c r="N44" s="90" t="e">
        <f>D44-IF('Saisie immeuble'!G41=Feuil1!$B$68,Feuil1!F44,IF('Saisie immeuble'!G41=Feuil1!$B$69,G44,0))-H44-I44-J44+L44-K44+M44</f>
        <v>#N/A</v>
      </c>
      <c r="O44" s="100" t="e">
        <f t="shared" si="6"/>
        <v>#N/A</v>
      </c>
      <c r="P44" s="90" t="e">
        <f>IF('Saisie immeuble'!$C$5="individuel",N44/AJ44,O44/AJ44)</f>
        <v>#N/A</v>
      </c>
      <c r="Q44" s="99" t="e">
        <f t="shared" si="7"/>
        <v>#N/A</v>
      </c>
      <c r="R44" s="52" t="e">
        <f>VLOOKUP('Saisie immeuble'!E41,Feuil1!$G$58:$I$75,3,0)</f>
        <v>#N/A</v>
      </c>
      <c r="S44" s="1" t="e">
        <f>VLOOKUP('Saisie immeuble'!F41,Feuil1!$Q$57:$U$70,5,FALSE)</f>
        <v>#N/A</v>
      </c>
      <c r="T44" s="1" t="e">
        <f>IF(AND(R44&lt;&gt;"élec",(S44&lt;&gt;"élec"),('Saisie immeuble'!C41&lt;40)),'Référence&amp;tarifs'!$A$6,IF(AND(R44="élec",(S44="élec")),'Référence&amp;tarifs'!$A$8,'Référence&amp;tarifs'!$A$7))</f>
        <v>#N/A</v>
      </c>
      <c r="U44" s="1" t="e">
        <f>VLOOKUP(T44,'Référence&amp;tarifs'!$A$6:$C$10,2,FALSE)</f>
        <v>#N/A</v>
      </c>
      <c r="V44" s="1" t="e">
        <f>VLOOKUP(T44,'Référence&amp;tarifs'!$A$6:$C$10,3,FALSE)</f>
        <v>#N/A</v>
      </c>
      <c r="W44" s="1"/>
      <c r="X44" s="51" t="e">
        <f>IF('Résultat immeuble'!S28&lt;1.1,HLOOKUP(Feuil1!T44,'Référence&amp;tarifs'!#REF!,2,FALSE),IF('Résultat immeuble'!S28&gt;1.9,HLOOKUP(Feuil1!T44,'Référence&amp;tarifs'!#REF!,4,FALSE),HLOOKUP(Feuil1!T44,'Référence&amp;tarifs'!#REF!,3,FALSE)))</f>
        <v>#N/A</v>
      </c>
      <c r="Y44" s="52" t="e">
        <f>IF(R44="gaz",N44,0)+IF(S44="gaz",AT44,0)+IF('Saisie immeuble'!H41="gaz de ville",Feuil1!AH44,0)</f>
        <v>#N/A</v>
      </c>
      <c r="Z44" s="1" t="e">
        <f>IF(Y44&lt;1000,'Référence&amp;tarifs'!$A$16,IF(Y44&gt;5999,'Référence&amp;tarifs'!$A$18,'Référence&amp;tarifs'!$A$17))</f>
        <v>#N/A</v>
      </c>
      <c r="AA44" s="1" t="e">
        <f>VLOOKUP(Z44,'Référence&amp;tarifs'!$A$16:$C$18,2,FALSE)</f>
        <v>#N/A</v>
      </c>
      <c r="AB44" s="1" t="e">
        <f>VLOOKUP(Z44,'Référence&amp;tarifs'!$A$16:$C$18,3,FALSE)</f>
        <v>#N/A</v>
      </c>
      <c r="AC44" s="58" t="b">
        <f>IF('Saisie immeuble'!$C$5="individuel",IF('Résultat immeuble'!S28=1,HLOOKUP(Feuil1!Z44,'Référence&amp;tarifs'!#REF!,2,FALSE),IF('Résultat immeuble'!S28&gt;1.9,HLOOKUP(Feuil1!Z44,'Référence&amp;tarifs'!#REF!,4,FALSE),HLOOKUP(Feuil1!Z44,'Référence&amp;tarifs'!#REF!,3,FALSE))),IF('Saisie immeuble'!$C$5="collectif",IF('Résultat immeuble'!S28=1,'Référence&amp;tarifs'!#REF!,IF('Résultat immeuble'!S28&gt;1.9,'Référence&amp;tarifs'!#REF!,IF(AND('Résultat immeuble'!S28&lt;2,('Résultat immeuble'!S28&gt;1)),'Référence&amp;tarifs'!#REF!,0)))))</f>
        <v>0</v>
      </c>
      <c r="AD44" s="109">
        <f>IF('Saisie immeuble'!I41+'Saisie immeuble'!J41&gt;0,18*'Saisie immeuble'!C41+3.5*('Saisie immeuble'!I41+'Saisie immeuble'!J41-1)*'Saisie immeuble'!C41,0)</f>
        <v>0</v>
      </c>
      <c r="AE44" s="110"/>
      <c r="AF44" s="111"/>
      <c r="AG44" s="97" t="e">
        <f t="shared" si="8"/>
        <v>#N/A</v>
      </c>
      <c r="AH44" s="52">
        <f>IF('Saisie immeuble'!I41+'Saisie immeuble'!J41&gt;0,350+80*('Saisie immeuble'!I41+'Saisie immeuble'!J41-1),0)</f>
        <v>0</v>
      </c>
      <c r="AI44" s="97" t="e">
        <f>IF('Saisie immeuble'!H41="gaz de ville",Feuil1!AB44,IF('Saisie immeuble'!H41=$B$72,V44,0))*Feuil1!AH44+IF(AND(R44&lt;&gt;"gaz",(S44&lt;&gt;"gaz"),('Saisie immeuble'!H41="gaz de ville")),Feuil1!AA44,0)</f>
        <v>#N/A</v>
      </c>
      <c r="AJ44" s="52" t="e">
        <f>VLOOKUP('Saisie immeuble'!E41,Feuil1!$G$58:$I$75,2,FALSE)</f>
        <v>#N/A</v>
      </c>
      <c r="AK44" s="1" t="e">
        <f>VLOOKUP('Saisie immeuble'!E41,Feuil1!$G$58:$I$75,3,FALSE)</f>
        <v>#N/A</v>
      </c>
      <c r="AL44" s="98" t="e">
        <f>IF(AK44="élec",V44,IF(AK44="gaz",AB44,IF(AK44="fioul",'Référence&amp;tarifs'!$B$25,IF(AK44="bois buche",'Référence&amp;tarifs'!$B$23,IF(AK44="bois granulés",'Référence&amp;tarifs'!$B$24,IF(AK44=I88,0.8*('Référence&amp;tarifs'!$B$23+'Référence&amp;tarifs'!B46)/2+0.2*Feuil1!AB44,0))))))</f>
        <v>#N/A</v>
      </c>
      <c r="AM44" s="52">
        <f>IF('Saisie immeuble'!I41+'Saisie immeuble'!J41&gt;0,Feuil1!$AM$13+2*('Saisie immeuble'!I41+'Saisie immeuble'!J41-1),0)</f>
        <v>0</v>
      </c>
      <c r="AN44" s="1">
        <f>IF('Saisie immeuble'!I41+'Saisie immeuble'!J41&gt;0,Feuil1!$AN$13*('Saisie immeuble'!I41+'Saisie immeuble'!J41),0)</f>
        <v>0</v>
      </c>
      <c r="AO44" s="1">
        <f>IF('Saisie immeuble'!I41+'Saisie immeuble'!J41&gt;0,Feuil1!$AO$13+3*('Saisie immeuble'!I41+'Saisie immeuble'!J41-1),0)</f>
        <v>0</v>
      </c>
      <c r="AP44" s="1">
        <f>IF('Saisie immeuble'!I41+'Saisie immeuble'!J41&gt;0,Feuil1!$AP$13+2*('Saisie immeuble'!I41+'Saisie immeuble'!J41-1),0)</f>
        <v>0</v>
      </c>
      <c r="AQ44" s="1">
        <f>IF('Saisie immeuble'!I41+'Saisie immeuble'!J41&gt;0,Feuil1!$AQ$13*('Saisie immeuble'!I41+'Saisie immeuble'!J41),0)</f>
        <v>0</v>
      </c>
      <c r="AR44" s="1">
        <f t="shared" si="9"/>
        <v>0</v>
      </c>
      <c r="AS44" s="99" t="e">
        <f>AR44*'Saisie immeuble'!$F$8+IF(AND(R44&lt;&gt;"gaz",(S44="gaz")),AA44,0)</f>
        <v>#N/A</v>
      </c>
      <c r="AT44" s="52">
        <f>IF('Saisie immeuble'!I41+'Saisie immeuble'!J41&gt;0,1100+700*('Saisie immeuble'!I41+'Saisie immeuble'!J41-1),0)</f>
        <v>0</v>
      </c>
      <c r="AU44" s="3" t="e">
        <f>IF(AW44="élec",Feuil1!V44,IF(AW44="gaz",Feuil1!AB44,IF(AW44="fioul",'Référence&amp;tarifs'!$B$25,IF(AW44="bois",('Référence&amp;tarifs'!$B$23+'Référence&amp;tarifs'!$B$24)/2,0))))</f>
        <v>#N/A</v>
      </c>
      <c r="AV44" s="1" t="e">
        <f>VLOOKUP('Saisie immeuble'!F41,Feuil1!$Q$57:$U$70,4,FALSE)</f>
        <v>#N/A</v>
      </c>
      <c r="AW44" s="1" t="e">
        <f>VLOOKUP('Saisie immeuble'!F41,Feuil1!$Q$57:$U$70,5,FALSE)</f>
        <v>#N/A</v>
      </c>
      <c r="AX44" s="97" t="e">
        <f t="shared" si="10"/>
        <v>#N/A</v>
      </c>
    </row>
    <row r="45" spans="2:50" x14ac:dyDescent="0.3">
      <c r="B45" s="52" t="s">
        <v>240</v>
      </c>
      <c r="C45" s="1">
        <f>IF('Saisie immeuble'!D42=Feuil1!$B$4,4,IF(AND('Saisie immeuble'!D42=$B$5,('Saisie immeuble'!$C$4=Feuil1!$C$5)),5,IF(AND('Saisie immeuble'!D42=$B$5,('Saisie immeuble'!$C$4=Feuil1!$C$6)),6,IF(AND('Saisie immeuble'!D42=Feuil1!$B$7,('Saisie immeuble'!$C$4=Feuil1!$C$7)),7,IF(AND('Saisie immeuble'!D42=Feuil1!$B$7,('Saisie immeuble'!$C$4=Feuil1!$C$8)),8,0)))))</f>
        <v>0</v>
      </c>
      <c r="D45" s="90" t="e">
        <f>HLOOKUP('Saisie immeuble'!$C$3,Feuil1!$D$1:$BM$8,Feuil1!C45,FALSE)</f>
        <v>#N/A</v>
      </c>
      <c r="E45" s="1" t="e">
        <f>HLOOKUP('Saisie immeuble'!$C$3,Feuil1!$D$1:$BM$8,3,FALSE)</f>
        <v>#N/A</v>
      </c>
      <c r="F45" s="1" t="e">
        <f>IF(E45=1,450+'Saisie immeuble'!C42*6,IF(E45=2,300+'Saisie immeuble'!C42*5,150+'Saisie immeuble'!C42*3))</f>
        <v>#N/A</v>
      </c>
      <c r="G45" s="1" t="e">
        <f>IF(E45=1,1400+'Saisie immeuble'!C42*6,IF(E45=2,1100+'Saisie immeuble'!C42*6,500+'Saisie immeuble'!C42*6))</f>
        <v>#N/A</v>
      </c>
      <c r="H45" s="90">
        <f>IF('Saisie immeuble'!$C$6="oui",IF('Saisie immeuble'!D42="dernier étage",IF(Feuil1!E45=1,0.4*Feuil1!D45,IF(Feuil1!E45=2,0.35*Feuil1!D45,IF(Feuil1!E45=3,0.3*Feuil1!D45,0))),0),0)</f>
        <v>0</v>
      </c>
      <c r="I45" s="90">
        <f>IF('Saisie immeuble'!$C$7="oui",IF(AND(Feuil1!E45=1,('Saisie immeuble'!$C$4=Feuil1!$C$5)),0.3*Feuil1!D45,IF(AND(Feuil1!E45=1,('Saisie immeuble'!$C$4=Feuil1!$C$6)),0.2*Feuil1!D45,IF(AND(Feuil1!E45=2,('Saisie immeuble'!$C$4=Feuil1!$C$5)),0.25*Feuil1!D45,IF(AND(Feuil1!E45=2,('Saisie immeuble'!$C$4=Feuil1!$C$6)),0.15*Feuil1!D45,IF(AND(Feuil1!E45=3,('Saisie immeuble'!$C$4=Feuil1!$C$5)),0.2*Feuil1!D45,IF(AND(Feuil1!E45=3,('Saisie immeuble'!$C$4=Feuil1!$C$6)),0.12*Feuil1!D45)))))),0)</f>
        <v>0</v>
      </c>
      <c r="J45" s="90">
        <f>IF('Saisie immeuble'!$C$8="oui",IF(AND(Feuil1!E45=1,('Saisie immeuble'!$C$4=Feuil1!$C$5)),0.22*Feuil1!D45,IF(AND(Feuil1!E45=1,('Saisie immeuble'!$C$4=Feuil1!$C$6)),0.14*Feuil1!D45,IF(AND(Feuil1!E45=2,('Saisie immeuble'!$C$4=Feuil1!$C$5)),0.2*Feuil1!D45,IF(AND(Feuil1!E45=2,('Saisie immeuble'!$C$4=Feuil1!$C$6)),0.12*Feuil1!D45,IF(AND(Feuil1!E45=3,('Saisie immeuble'!$C$4=Feuil1!$C$5)),0.16*Feuil1!D45,IF(AND(Feuil1!E45=3,('Saisie immeuble'!$C$4=Feuil1!$C$6)),0.1*Feuil1!D45)))))),0)</f>
        <v>0</v>
      </c>
      <c r="K45" s="90">
        <f>IF('Saisie immeuble'!$F$7="oui",IF('Saisie immeuble'!D42="rez de chaussée",IF(Feuil1!E45=1,0.2*Feuil1!D45,IF(Feuil1!E45=2,0.16*Feuil1!D45,IF(Feuil1!E45=3,0.12*Feuil1!D45,0))),0),0)</f>
        <v>0</v>
      </c>
      <c r="L45" s="1">
        <f>IF('Saisie immeuble'!C42&gt;0,IF('Saisie immeuble'!C42&gt;57,('Saisie immeuble'!C42-57)*55,('Saisie immeuble'!C42-57)*35),0)</f>
        <v>0</v>
      </c>
      <c r="M45" s="1">
        <f>IF('Saisie immeuble'!C42&gt;0,IF('Saisie immeuble'!$H$7=Feuil1!$B$78,IF(Feuil1!E45=1,700,IF(Feuil1!E45=2,550,400)),IF('Saisie immeuble'!$H$7=Feuil1!$B$79,IF(Feuil1!E45=1,350,IF(Feuil1!E45=2,275,200)),0))*(1-((57-'Saisie immeuble'!C42)/100)),0)</f>
        <v>0</v>
      </c>
      <c r="N45" s="90" t="e">
        <f>D45-IF('Saisie immeuble'!G42=Feuil1!$B$68,Feuil1!F45,IF('Saisie immeuble'!G42=Feuil1!$B$69,G45,0))-H45-I45-J45+L45-K45+M45</f>
        <v>#N/A</v>
      </c>
      <c r="O45" s="100" t="e">
        <f t="shared" si="6"/>
        <v>#N/A</v>
      </c>
      <c r="P45" s="90" t="e">
        <f>IF('Saisie immeuble'!$C$5="individuel",N45/AJ45,O45/AJ45)</f>
        <v>#N/A</v>
      </c>
      <c r="Q45" s="99" t="e">
        <f t="shared" si="7"/>
        <v>#N/A</v>
      </c>
      <c r="R45" s="52" t="e">
        <f>VLOOKUP('Saisie immeuble'!E42,Feuil1!$G$58:$I$75,3,0)</f>
        <v>#N/A</v>
      </c>
      <c r="S45" s="1" t="e">
        <f>VLOOKUP('Saisie immeuble'!F42,Feuil1!$Q$57:$U$70,5,FALSE)</f>
        <v>#N/A</v>
      </c>
      <c r="T45" s="1" t="e">
        <f>IF(AND(R45&lt;&gt;"élec",(S45&lt;&gt;"élec"),('Saisie immeuble'!C42&lt;40)),'Référence&amp;tarifs'!$A$6,IF(AND(R45="élec",(S45="élec")),'Référence&amp;tarifs'!$A$8,'Référence&amp;tarifs'!$A$7))</f>
        <v>#N/A</v>
      </c>
      <c r="U45" s="1" t="e">
        <f>VLOOKUP(T45,'Référence&amp;tarifs'!$A$6:$C$10,2,FALSE)</f>
        <v>#N/A</v>
      </c>
      <c r="V45" s="1" t="e">
        <f>VLOOKUP(T45,'Référence&amp;tarifs'!$A$6:$C$10,3,FALSE)</f>
        <v>#N/A</v>
      </c>
      <c r="W45" s="1"/>
      <c r="X45" s="51" t="e">
        <f>IF('Résultat immeuble'!#REF!&lt;1.1,HLOOKUP(Feuil1!T45,'Référence&amp;tarifs'!#REF!,2,FALSE),IF('Résultat immeuble'!#REF!&gt;1.9,HLOOKUP(Feuil1!T45,'Référence&amp;tarifs'!#REF!,4,FALSE),HLOOKUP(Feuil1!T45,'Référence&amp;tarifs'!#REF!,3,FALSE)))</f>
        <v>#REF!</v>
      </c>
      <c r="Y45" s="52" t="e">
        <f>IF(R45="gaz",N45,0)+IF(S45="gaz",AT45,0)+IF('Saisie immeuble'!H42="gaz de ville",Feuil1!AH45,0)</f>
        <v>#N/A</v>
      </c>
      <c r="Z45" s="1" t="e">
        <f>IF(Y45&lt;1000,'Référence&amp;tarifs'!$A$16,IF(Y45&gt;5999,'Référence&amp;tarifs'!$A$18,'Référence&amp;tarifs'!$A$17))</f>
        <v>#N/A</v>
      </c>
      <c r="AA45" s="1" t="e">
        <f>VLOOKUP(Z45,'Référence&amp;tarifs'!$A$16:$C$18,2,FALSE)</f>
        <v>#N/A</v>
      </c>
      <c r="AB45" s="1" t="e">
        <f>VLOOKUP(Z45,'Référence&amp;tarifs'!$A$16:$C$18,3,FALSE)</f>
        <v>#N/A</v>
      </c>
      <c r="AC45" s="58" t="b">
        <f>IF('Saisie immeuble'!$C$5="individuel",IF('Résultat immeuble'!#REF!=1,HLOOKUP(Feuil1!Z45,'Référence&amp;tarifs'!#REF!,2,FALSE),IF('Résultat immeuble'!#REF!&gt;1.9,HLOOKUP(Feuil1!Z45,'Référence&amp;tarifs'!#REF!,4,FALSE),HLOOKUP(Feuil1!Z45,'Référence&amp;tarifs'!#REF!,3,FALSE))),IF('Saisie immeuble'!$C$5="collectif",IF('Résultat immeuble'!#REF!=1,'Référence&amp;tarifs'!#REF!,IF('Résultat immeuble'!#REF!&gt;1.9,'Référence&amp;tarifs'!#REF!,IF(AND('Résultat immeuble'!#REF!&lt;2,('Résultat immeuble'!#REF!&gt;1)),'Référence&amp;tarifs'!#REF!,0)))))</f>
        <v>0</v>
      </c>
      <c r="AD45" s="109">
        <f>IF('Saisie immeuble'!I42+'Saisie immeuble'!J42&gt;0,18*'Saisie immeuble'!C42+3.5*('Saisie immeuble'!I42+'Saisie immeuble'!J42-1)*'Saisie immeuble'!C42,0)</f>
        <v>0</v>
      </c>
      <c r="AE45" s="110"/>
      <c r="AF45" s="111"/>
      <c r="AG45" s="97" t="e">
        <f t="shared" si="8"/>
        <v>#N/A</v>
      </c>
      <c r="AH45" s="52">
        <f>IF('Saisie immeuble'!I42+'Saisie immeuble'!J42&gt;0,350+80*('Saisie immeuble'!I42+'Saisie immeuble'!J42-1),0)</f>
        <v>0</v>
      </c>
      <c r="AI45" s="97" t="e">
        <f>IF('Saisie immeuble'!H42="gaz de ville",Feuil1!AB45,IF('Saisie immeuble'!H42=$B$72,V45,0))*Feuil1!AH45+IF(AND(R45&lt;&gt;"gaz",(S45&lt;&gt;"gaz"),('Saisie immeuble'!H42="gaz de ville")),Feuil1!AA45,0)</f>
        <v>#N/A</v>
      </c>
      <c r="AJ45" s="52" t="e">
        <f>VLOOKUP('Saisie immeuble'!E42,Feuil1!$G$58:$I$75,2,FALSE)</f>
        <v>#N/A</v>
      </c>
      <c r="AK45" s="1" t="e">
        <f>VLOOKUP('Saisie immeuble'!E42,Feuil1!$G$58:$I$75,3,FALSE)</f>
        <v>#N/A</v>
      </c>
      <c r="AL45" s="98" t="e">
        <f>IF(AK45="élec",V45,IF(AK45="gaz",AB45,IF(AK45="fioul",'Référence&amp;tarifs'!$B$25,IF(AK45="bois buche",'Référence&amp;tarifs'!$B$23,IF(AK45="bois granulés",'Référence&amp;tarifs'!$B$24,IF(AK45=I89,0.8*('Référence&amp;tarifs'!$B$23+'Référence&amp;tarifs'!B47)/2+0.2*Feuil1!AB45,0))))))</f>
        <v>#N/A</v>
      </c>
      <c r="AM45" s="52">
        <f>IF('Saisie immeuble'!I42+'Saisie immeuble'!J42&gt;0,Feuil1!$AM$13+2*('Saisie immeuble'!I42+'Saisie immeuble'!J42-1),0)</f>
        <v>0</v>
      </c>
      <c r="AN45" s="1">
        <f>IF('Saisie immeuble'!I42+'Saisie immeuble'!J42&gt;0,Feuil1!$AN$13*('Saisie immeuble'!I42+'Saisie immeuble'!J42),0)</f>
        <v>0</v>
      </c>
      <c r="AO45" s="1">
        <f>IF('Saisie immeuble'!I42+'Saisie immeuble'!J42&gt;0,Feuil1!$AO$13+3*('Saisie immeuble'!I42+'Saisie immeuble'!J42-1),0)</f>
        <v>0</v>
      </c>
      <c r="AP45" s="1">
        <f>IF('Saisie immeuble'!I42+'Saisie immeuble'!J42&gt;0,Feuil1!$AP$13+2*('Saisie immeuble'!I42+'Saisie immeuble'!J42-1),0)</f>
        <v>0</v>
      </c>
      <c r="AQ45" s="1">
        <f>IF('Saisie immeuble'!I42+'Saisie immeuble'!J42&gt;0,Feuil1!$AQ$13*('Saisie immeuble'!I42+'Saisie immeuble'!J42),0)</f>
        <v>0</v>
      </c>
      <c r="AR45" s="1">
        <f t="shared" si="9"/>
        <v>0</v>
      </c>
      <c r="AS45" s="99" t="e">
        <f>AR45*'Saisie immeuble'!$F$8+IF(AND(R45&lt;&gt;"gaz",(S45="gaz")),AA45,0)</f>
        <v>#N/A</v>
      </c>
      <c r="AT45" s="52">
        <f>IF('Saisie immeuble'!I42+'Saisie immeuble'!J42&gt;0,1100+700*('Saisie immeuble'!I42+'Saisie immeuble'!J42-1),0)</f>
        <v>0</v>
      </c>
      <c r="AU45" s="3" t="e">
        <f>IF(AW45="élec",Feuil1!V45,IF(AW45="gaz",Feuil1!AB45,IF(AW45="fioul",'Référence&amp;tarifs'!$B$25,IF(AW45="bois",('Référence&amp;tarifs'!$B$23+'Référence&amp;tarifs'!$B$24)/2,0))))</f>
        <v>#N/A</v>
      </c>
      <c r="AV45" s="1" t="e">
        <f>VLOOKUP('Saisie immeuble'!F42,Feuil1!$Q$57:$U$70,4,FALSE)</f>
        <v>#N/A</v>
      </c>
      <c r="AW45" s="1" t="e">
        <f>VLOOKUP('Saisie immeuble'!F42,Feuil1!$Q$57:$U$70,5,FALSE)</f>
        <v>#N/A</v>
      </c>
      <c r="AX45" s="97" t="e">
        <f t="shared" si="10"/>
        <v>#N/A</v>
      </c>
    </row>
    <row r="46" spans="2:50" x14ac:dyDescent="0.3">
      <c r="B46" s="52" t="s">
        <v>241</v>
      </c>
      <c r="C46" s="1">
        <f>IF('Saisie immeuble'!D43=Feuil1!$B$4,4,IF(AND('Saisie immeuble'!D43=$B$5,('Saisie immeuble'!$C$4=Feuil1!$C$5)),5,IF(AND('Saisie immeuble'!D43=$B$5,('Saisie immeuble'!$C$4=Feuil1!$C$6)),6,IF(AND('Saisie immeuble'!D43=Feuil1!$B$7,('Saisie immeuble'!$C$4=Feuil1!$C$7)),7,IF(AND('Saisie immeuble'!D43=Feuil1!$B$7,('Saisie immeuble'!$C$4=Feuil1!$C$8)),8,0)))))</f>
        <v>0</v>
      </c>
      <c r="D46" s="90" t="e">
        <f>HLOOKUP('Saisie immeuble'!$C$3,Feuil1!$D$1:$BM$8,Feuil1!C46,FALSE)</f>
        <v>#N/A</v>
      </c>
      <c r="E46" s="1" t="e">
        <f>HLOOKUP('Saisie immeuble'!$C$3,Feuil1!$D$1:$BM$8,3,FALSE)</f>
        <v>#N/A</v>
      </c>
      <c r="F46" s="1" t="e">
        <f>IF(E46=1,450+'Saisie immeuble'!C43*6,IF(E46=2,300+'Saisie immeuble'!C43*5,150+'Saisie immeuble'!C43*3))</f>
        <v>#N/A</v>
      </c>
      <c r="G46" s="1" t="e">
        <f>IF(E46=1,1400+'Saisie immeuble'!C43*6,IF(E46=2,1100+'Saisie immeuble'!C43*6,500+'Saisie immeuble'!C43*6))</f>
        <v>#N/A</v>
      </c>
      <c r="H46" s="90">
        <f>IF('Saisie immeuble'!$C$6="oui",IF('Saisie immeuble'!D43="dernier étage",IF(Feuil1!E46=1,0.4*Feuil1!D46,IF(Feuil1!E46=2,0.35*Feuil1!D46,IF(Feuil1!E46=3,0.3*Feuil1!D46,0))),0),0)</f>
        <v>0</v>
      </c>
      <c r="I46" s="90">
        <f>IF('Saisie immeuble'!$C$7="oui",IF(AND(Feuil1!E46=1,('Saisie immeuble'!$C$4=Feuil1!$C$5)),0.3*Feuil1!D46,IF(AND(Feuil1!E46=1,('Saisie immeuble'!$C$4=Feuil1!$C$6)),0.2*Feuil1!D46,IF(AND(Feuil1!E46=2,('Saisie immeuble'!$C$4=Feuil1!$C$5)),0.25*Feuil1!D46,IF(AND(Feuil1!E46=2,('Saisie immeuble'!$C$4=Feuil1!$C$6)),0.15*Feuil1!D46,IF(AND(Feuil1!E46=3,('Saisie immeuble'!$C$4=Feuil1!$C$5)),0.2*Feuil1!D46,IF(AND(Feuil1!E46=3,('Saisie immeuble'!$C$4=Feuil1!$C$6)),0.12*Feuil1!D46)))))),0)</f>
        <v>0</v>
      </c>
      <c r="J46" s="90">
        <f>IF('Saisie immeuble'!$C$8="oui",IF(AND(Feuil1!E46=1,('Saisie immeuble'!$C$4=Feuil1!$C$5)),0.22*Feuil1!D46,IF(AND(Feuil1!E46=1,('Saisie immeuble'!$C$4=Feuil1!$C$6)),0.14*Feuil1!D46,IF(AND(Feuil1!E46=2,('Saisie immeuble'!$C$4=Feuil1!$C$5)),0.2*Feuil1!D46,IF(AND(Feuil1!E46=2,('Saisie immeuble'!$C$4=Feuil1!$C$6)),0.12*Feuil1!D46,IF(AND(Feuil1!E46=3,('Saisie immeuble'!$C$4=Feuil1!$C$5)),0.16*Feuil1!D46,IF(AND(Feuil1!E46=3,('Saisie immeuble'!$C$4=Feuil1!$C$6)),0.1*Feuil1!D46)))))),0)</f>
        <v>0</v>
      </c>
      <c r="K46" s="90">
        <f>IF('Saisie immeuble'!$F$7="oui",IF('Saisie immeuble'!D43="rez de chaussée",IF(Feuil1!E46=1,0.2*Feuil1!D46,IF(Feuil1!E46=2,0.16*Feuil1!D46,IF(Feuil1!E46=3,0.12*Feuil1!D46,0))),0),0)</f>
        <v>0</v>
      </c>
      <c r="L46" s="1">
        <f>IF('Saisie immeuble'!C43&gt;0,IF('Saisie immeuble'!C43&gt;57,('Saisie immeuble'!C43-57)*55,('Saisie immeuble'!C43-57)*35),0)</f>
        <v>0</v>
      </c>
      <c r="M46" s="1">
        <f>IF('Saisie immeuble'!C43&gt;0,IF('Saisie immeuble'!$H$7=Feuil1!$B$78,IF(Feuil1!E46=1,700,IF(Feuil1!E46=2,550,400)),IF('Saisie immeuble'!$H$7=Feuil1!$B$79,IF(Feuil1!E46=1,350,IF(Feuil1!E46=2,275,200)),0))*(1-((57-'Saisie immeuble'!C43)/100)),0)</f>
        <v>0</v>
      </c>
      <c r="N46" s="90" t="e">
        <f>D46-IF('Saisie immeuble'!G43=Feuil1!$B$68,Feuil1!F46,IF('Saisie immeuble'!G43=Feuil1!$B$69,G46,0))-H46-I46-J46+L46-K46+M46</f>
        <v>#N/A</v>
      </c>
      <c r="O46" s="100" t="e">
        <f t="shared" si="6"/>
        <v>#N/A</v>
      </c>
      <c r="P46" s="90" t="e">
        <f>IF('Saisie immeuble'!$C$5="individuel",N46/AJ46,O46/AJ46)</f>
        <v>#N/A</v>
      </c>
      <c r="Q46" s="99" t="e">
        <f t="shared" si="7"/>
        <v>#N/A</v>
      </c>
      <c r="R46" s="52" t="e">
        <f>VLOOKUP('Saisie immeuble'!E43,Feuil1!$G$58:$I$75,3,0)</f>
        <v>#N/A</v>
      </c>
      <c r="S46" s="1" t="e">
        <f>VLOOKUP('Saisie immeuble'!F43,Feuil1!$Q$57:$U$70,5,FALSE)</f>
        <v>#N/A</v>
      </c>
      <c r="T46" s="1" t="e">
        <f>IF(AND(R46&lt;&gt;"élec",(S46&lt;&gt;"élec"),('Saisie immeuble'!C43&lt;40)),'Référence&amp;tarifs'!$A$6,IF(AND(R46="élec",(S46="élec")),'Référence&amp;tarifs'!$A$8,'Référence&amp;tarifs'!$A$7))</f>
        <v>#N/A</v>
      </c>
      <c r="U46" s="1" t="e">
        <f>VLOOKUP(T46,'Référence&amp;tarifs'!$A$6:$C$10,2,FALSE)</f>
        <v>#N/A</v>
      </c>
      <c r="V46" s="1" t="e">
        <f>VLOOKUP(T46,'Référence&amp;tarifs'!$A$6:$C$10,3,FALSE)</f>
        <v>#N/A</v>
      </c>
      <c r="W46" s="1"/>
      <c r="X46" s="51" t="e">
        <f>IF('Résultat immeuble'!T31&lt;1.1,HLOOKUP(Feuil1!T46,'Référence&amp;tarifs'!#REF!,2,FALSE),IF('Résultat immeuble'!T31&gt;1.9,HLOOKUP(Feuil1!T46,'Référence&amp;tarifs'!#REF!,4,FALSE),HLOOKUP(Feuil1!T46,'Référence&amp;tarifs'!#REF!,3,FALSE)))</f>
        <v>#N/A</v>
      </c>
      <c r="Y46" s="52" t="e">
        <f>IF(R46="gaz",N46,0)+IF(S46="gaz",AT46,0)+IF('Saisie immeuble'!H43="gaz de ville",Feuil1!AH46,0)</f>
        <v>#N/A</v>
      </c>
      <c r="Z46" s="1" t="e">
        <f>IF(Y46&lt;1000,'Référence&amp;tarifs'!$A$16,IF(Y46&gt;5999,'Référence&amp;tarifs'!$A$18,'Référence&amp;tarifs'!$A$17))</f>
        <v>#N/A</v>
      </c>
      <c r="AA46" s="1" t="e">
        <f>VLOOKUP(Z46,'Référence&amp;tarifs'!$A$16:$C$18,2,FALSE)</f>
        <v>#N/A</v>
      </c>
      <c r="AB46" s="1" t="e">
        <f>VLOOKUP(Z46,'Référence&amp;tarifs'!$A$16:$C$18,3,FALSE)</f>
        <v>#N/A</v>
      </c>
      <c r="AC46" s="58" t="b">
        <f>IF('Saisie immeuble'!$C$5="individuel",IF('Résultat immeuble'!T31=1,HLOOKUP(Feuil1!Z46,'Référence&amp;tarifs'!#REF!,2,FALSE),IF('Résultat immeuble'!T31&gt;1.9,HLOOKUP(Feuil1!Z46,'Référence&amp;tarifs'!#REF!,4,FALSE),HLOOKUP(Feuil1!Z46,'Référence&amp;tarifs'!#REF!,3,FALSE))),IF('Saisie immeuble'!$C$5="collectif",IF('Résultat immeuble'!T31=1,'Référence&amp;tarifs'!#REF!,IF('Résultat immeuble'!T31&gt;1.9,'Référence&amp;tarifs'!#REF!,IF(AND('Résultat immeuble'!T31&lt;2,('Résultat immeuble'!T31&gt;1)),'Référence&amp;tarifs'!#REF!,0)))))</f>
        <v>0</v>
      </c>
      <c r="AD46" s="109">
        <f>IF('Saisie immeuble'!I43+'Saisie immeuble'!J43&gt;0,18*'Saisie immeuble'!C43+3.5*('Saisie immeuble'!I43+'Saisie immeuble'!J43-1)*'Saisie immeuble'!C43,0)</f>
        <v>0</v>
      </c>
      <c r="AE46" s="110"/>
      <c r="AF46" s="111"/>
      <c r="AG46" s="97" t="e">
        <f t="shared" si="8"/>
        <v>#N/A</v>
      </c>
      <c r="AH46" s="52">
        <f>IF('Saisie immeuble'!I43+'Saisie immeuble'!J43&gt;0,350+80*('Saisie immeuble'!I43+'Saisie immeuble'!J43-1),0)</f>
        <v>0</v>
      </c>
      <c r="AI46" s="97" t="e">
        <f>IF('Saisie immeuble'!H43="gaz de ville",Feuil1!AB46,IF('Saisie immeuble'!H43=$B$72,V46,0))*Feuil1!AH46+IF(AND(R46&lt;&gt;"gaz",(S46&lt;&gt;"gaz"),('Saisie immeuble'!H43="gaz de ville")),Feuil1!AA46,0)</f>
        <v>#N/A</v>
      </c>
      <c r="AJ46" s="52" t="e">
        <f>VLOOKUP('Saisie immeuble'!E43,Feuil1!$G$58:$I$75,2,FALSE)</f>
        <v>#N/A</v>
      </c>
      <c r="AK46" s="1" t="e">
        <f>VLOOKUP('Saisie immeuble'!E43,Feuil1!$G$58:$I$75,3,FALSE)</f>
        <v>#N/A</v>
      </c>
      <c r="AL46" s="98" t="e">
        <f>IF(AK46="élec",V46,IF(AK46="gaz",AB46,IF(AK46="fioul",'Référence&amp;tarifs'!$B$25,IF(AK46="bois buche",'Référence&amp;tarifs'!$B$23,IF(AK46="bois granulés",'Référence&amp;tarifs'!$B$24,IF(AK46=I90,0.8*('Référence&amp;tarifs'!$B$23+'Référence&amp;tarifs'!B48)/2+0.2*Feuil1!AB46,0))))))</f>
        <v>#N/A</v>
      </c>
      <c r="AM46" s="52">
        <f>IF('Saisie immeuble'!I43+'Saisie immeuble'!J43&gt;0,Feuil1!$AM$13+2*('Saisie immeuble'!I43+'Saisie immeuble'!J43-1),0)</f>
        <v>0</v>
      </c>
      <c r="AN46" s="1">
        <f>IF('Saisie immeuble'!I43+'Saisie immeuble'!J43&gt;0,Feuil1!$AN$13*('Saisie immeuble'!I43+'Saisie immeuble'!J43),0)</f>
        <v>0</v>
      </c>
      <c r="AO46" s="1">
        <f>IF('Saisie immeuble'!I43+'Saisie immeuble'!J43&gt;0,Feuil1!$AO$13+3*('Saisie immeuble'!I43+'Saisie immeuble'!J43-1),0)</f>
        <v>0</v>
      </c>
      <c r="AP46" s="1">
        <f>IF('Saisie immeuble'!I43+'Saisie immeuble'!J43&gt;0,Feuil1!$AP$13+2*('Saisie immeuble'!I43+'Saisie immeuble'!J43-1),0)</f>
        <v>0</v>
      </c>
      <c r="AQ46" s="1">
        <f>IF('Saisie immeuble'!I43+'Saisie immeuble'!J43&gt;0,Feuil1!$AQ$13*('Saisie immeuble'!I43+'Saisie immeuble'!J43),0)</f>
        <v>0</v>
      </c>
      <c r="AR46" s="1">
        <f t="shared" si="9"/>
        <v>0</v>
      </c>
      <c r="AS46" s="99" t="e">
        <f>AR46*'Saisie immeuble'!$F$8+IF(AND(R46&lt;&gt;"gaz",(S46="gaz")),AA46,0)</f>
        <v>#N/A</v>
      </c>
      <c r="AT46" s="52">
        <f>IF('Saisie immeuble'!I43+'Saisie immeuble'!J43&gt;0,1100+700*('Saisie immeuble'!I43+'Saisie immeuble'!J43-1),0)</f>
        <v>0</v>
      </c>
      <c r="AU46" s="3" t="e">
        <f>IF(AW46="élec",Feuil1!V46,IF(AW46="gaz",Feuil1!AB46,IF(AW46="fioul",'Référence&amp;tarifs'!$B$25,IF(AW46="bois",('Référence&amp;tarifs'!$B$23+'Référence&amp;tarifs'!$B$24)/2,0))))</f>
        <v>#N/A</v>
      </c>
      <c r="AV46" s="1" t="e">
        <f>VLOOKUP('Saisie immeuble'!F43,Feuil1!$Q$57:$U$70,4,FALSE)</f>
        <v>#N/A</v>
      </c>
      <c r="AW46" s="1" t="e">
        <f>VLOOKUP('Saisie immeuble'!F43,Feuil1!$Q$57:$U$70,5,FALSE)</f>
        <v>#N/A</v>
      </c>
      <c r="AX46" s="97" t="e">
        <f t="shared" si="10"/>
        <v>#N/A</v>
      </c>
    </row>
    <row r="47" spans="2:50" x14ac:dyDescent="0.3">
      <c r="B47" s="52" t="s">
        <v>242</v>
      </c>
      <c r="C47" s="1">
        <f>IF('Saisie immeuble'!D44=Feuil1!$B$4,4,IF(AND('Saisie immeuble'!D44=$B$5,('Saisie immeuble'!$C$4=Feuil1!$C$5)),5,IF(AND('Saisie immeuble'!D44=$B$5,('Saisie immeuble'!$C$4=Feuil1!$C$6)),6,IF(AND('Saisie immeuble'!D44=Feuil1!$B$7,('Saisie immeuble'!$C$4=Feuil1!$C$7)),7,IF(AND('Saisie immeuble'!D44=Feuil1!$B$7,('Saisie immeuble'!$C$4=Feuil1!$C$8)),8,0)))))</f>
        <v>0</v>
      </c>
      <c r="D47" s="90" t="e">
        <f>HLOOKUP('Saisie immeuble'!$C$3,Feuil1!$D$1:$BM$8,Feuil1!C47,FALSE)</f>
        <v>#N/A</v>
      </c>
      <c r="E47" s="1" t="e">
        <f>HLOOKUP('Saisie immeuble'!$C$3,Feuil1!$D$1:$BM$8,3,FALSE)</f>
        <v>#N/A</v>
      </c>
      <c r="F47" s="1" t="e">
        <f>IF(E47=1,450+'Saisie immeuble'!C44*6,IF(E47=2,300+'Saisie immeuble'!C44*5,150+'Saisie immeuble'!C44*3))</f>
        <v>#N/A</v>
      </c>
      <c r="G47" s="1" t="e">
        <f>IF(E47=1,1400+'Saisie immeuble'!C44*6,IF(E47=2,1100+'Saisie immeuble'!C44*6,500+'Saisie immeuble'!C44*6))</f>
        <v>#N/A</v>
      </c>
      <c r="H47" s="90">
        <f>IF('Saisie immeuble'!$C$6="oui",IF('Saisie immeuble'!D44="dernier étage",IF(Feuil1!E47=1,0.4*Feuil1!D47,IF(Feuil1!E47=2,0.35*Feuil1!D47,IF(Feuil1!E47=3,0.3*Feuil1!D47,0))),0),0)</f>
        <v>0</v>
      </c>
      <c r="I47" s="90">
        <f>IF('Saisie immeuble'!$C$7="oui",IF(AND(Feuil1!E47=1,('Saisie immeuble'!$C$4=Feuil1!$C$5)),0.3*Feuil1!D47,IF(AND(Feuil1!E47=1,('Saisie immeuble'!$C$4=Feuil1!$C$6)),0.2*Feuil1!D47,IF(AND(Feuil1!E47=2,('Saisie immeuble'!$C$4=Feuil1!$C$5)),0.25*Feuil1!D47,IF(AND(Feuil1!E47=2,('Saisie immeuble'!$C$4=Feuil1!$C$6)),0.15*Feuil1!D47,IF(AND(Feuil1!E47=3,('Saisie immeuble'!$C$4=Feuil1!$C$5)),0.2*Feuil1!D47,IF(AND(Feuil1!E47=3,('Saisie immeuble'!$C$4=Feuil1!$C$6)),0.12*Feuil1!D47)))))),0)</f>
        <v>0</v>
      </c>
      <c r="J47" s="90">
        <f>IF('Saisie immeuble'!$C$8="oui",IF(AND(Feuil1!E47=1,('Saisie immeuble'!$C$4=Feuil1!$C$5)),0.22*Feuil1!D47,IF(AND(Feuil1!E47=1,('Saisie immeuble'!$C$4=Feuil1!$C$6)),0.14*Feuil1!D47,IF(AND(Feuil1!E47=2,('Saisie immeuble'!$C$4=Feuil1!$C$5)),0.2*Feuil1!D47,IF(AND(Feuil1!E47=2,('Saisie immeuble'!$C$4=Feuil1!$C$6)),0.12*Feuil1!D47,IF(AND(Feuil1!E47=3,('Saisie immeuble'!$C$4=Feuil1!$C$5)),0.16*Feuil1!D47,IF(AND(Feuil1!E47=3,('Saisie immeuble'!$C$4=Feuil1!$C$6)),0.1*Feuil1!D47)))))),0)</f>
        <v>0</v>
      </c>
      <c r="K47" s="90">
        <f>IF('Saisie immeuble'!$F$7="oui",IF('Saisie immeuble'!D44="rez de chaussée",IF(Feuil1!E47=1,0.2*Feuil1!D47,IF(Feuil1!E47=2,0.16*Feuil1!D47,IF(Feuil1!E47=3,0.12*Feuil1!D47,0))),0),0)</f>
        <v>0</v>
      </c>
      <c r="L47" s="1">
        <f>IF('Saisie immeuble'!C44&gt;0,IF('Saisie immeuble'!C44&gt;57,('Saisie immeuble'!C44-57)*55,('Saisie immeuble'!C44-57)*35),0)</f>
        <v>0</v>
      </c>
      <c r="M47" s="1">
        <f>IF('Saisie immeuble'!C44&gt;0,IF('Saisie immeuble'!$H$7=Feuil1!$B$78,IF(Feuil1!E47=1,700,IF(Feuil1!E47=2,550,400)),IF('Saisie immeuble'!$H$7=Feuil1!$B$79,IF(Feuil1!E47=1,350,IF(Feuil1!E47=2,275,200)),0))*(1-((57-'Saisie immeuble'!C44)/100)),0)</f>
        <v>0</v>
      </c>
      <c r="N47" s="90" t="e">
        <f>D47-IF('Saisie immeuble'!G44=Feuil1!$B$68,Feuil1!F47,IF('Saisie immeuble'!G44=Feuil1!$B$69,G47,0))-H47-I47-J47+L47-K47+M47</f>
        <v>#N/A</v>
      </c>
      <c r="O47" s="100" t="e">
        <f t="shared" si="6"/>
        <v>#N/A</v>
      </c>
      <c r="P47" s="90" t="e">
        <f>IF('Saisie immeuble'!$C$5="individuel",N47/AJ47,O47/AJ47)</f>
        <v>#N/A</v>
      </c>
      <c r="Q47" s="99" t="e">
        <f t="shared" si="7"/>
        <v>#N/A</v>
      </c>
      <c r="R47" s="52" t="e">
        <f>VLOOKUP('Saisie immeuble'!E44,Feuil1!$G$58:$I$75,3,0)</f>
        <v>#N/A</v>
      </c>
      <c r="S47" s="1" t="e">
        <f>VLOOKUP('Saisie immeuble'!F44,Feuil1!$Q$57:$U$70,5,FALSE)</f>
        <v>#N/A</v>
      </c>
      <c r="T47" s="1" t="e">
        <f>IF(AND(R47&lt;&gt;"élec",(S47&lt;&gt;"élec"),('Saisie immeuble'!C44&lt;40)),'Référence&amp;tarifs'!$A$6,IF(AND(R47="élec",(S47="élec")),'Référence&amp;tarifs'!$A$8,'Référence&amp;tarifs'!$A$7))</f>
        <v>#N/A</v>
      </c>
      <c r="U47" s="1" t="e">
        <f>VLOOKUP(T47,'Référence&amp;tarifs'!$A$6:$C$10,2,FALSE)</f>
        <v>#N/A</v>
      </c>
      <c r="V47" s="1" t="e">
        <f>VLOOKUP(T47,'Référence&amp;tarifs'!$A$6:$C$10,3,FALSE)</f>
        <v>#N/A</v>
      </c>
      <c r="W47" s="1"/>
      <c r="X47" s="51" t="e">
        <f>IF('Résultat immeuble'!#REF!&lt;1.1,HLOOKUP(Feuil1!T47,'Référence&amp;tarifs'!#REF!,2,FALSE),IF('Résultat immeuble'!#REF!&gt;1.9,HLOOKUP(Feuil1!T47,'Référence&amp;tarifs'!#REF!,4,FALSE),HLOOKUP(Feuil1!T47,'Référence&amp;tarifs'!#REF!,3,FALSE)))</f>
        <v>#REF!</v>
      </c>
      <c r="Y47" s="52" t="e">
        <f>IF(R47="gaz",N47,0)+IF(S47="gaz",AT47,0)+IF('Saisie immeuble'!H44="gaz de ville",Feuil1!AH47,0)</f>
        <v>#N/A</v>
      </c>
      <c r="Z47" s="1" t="e">
        <f>IF(Y47&lt;1000,'Référence&amp;tarifs'!$A$16,IF(Y47&gt;5999,'Référence&amp;tarifs'!$A$18,'Référence&amp;tarifs'!$A$17))</f>
        <v>#N/A</v>
      </c>
      <c r="AA47" s="1" t="e">
        <f>VLOOKUP(Z47,'Référence&amp;tarifs'!$A$16:$C$18,2,FALSE)</f>
        <v>#N/A</v>
      </c>
      <c r="AB47" s="1" t="e">
        <f>VLOOKUP(Z47,'Référence&amp;tarifs'!$A$16:$C$18,3,FALSE)</f>
        <v>#N/A</v>
      </c>
      <c r="AC47" s="58" t="b">
        <f>IF('Saisie immeuble'!$C$5="individuel",IF('Résultat immeuble'!#REF!=1,HLOOKUP(Feuil1!Z47,'Référence&amp;tarifs'!#REF!,2,FALSE),IF('Résultat immeuble'!#REF!&gt;1.9,HLOOKUP(Feuil1!Z47,'Référence&amp;tarifs'!#REF!,4,FALSE),HLOOKUP(Feuil1!Z47,'Référence&amp;tarifs'!#REF!,3,FALSE))),IF('Saisie immeuble'!$C$5="collectif",IF('Résultat immeuble'!#REF!=1,'Référence&amp;tarifs'!#REF!,IF('Résultat immeuble'!#REF!&gt;1.9,'Référence&amp;tarifs'!#REF!,IF(AND('Résultat immeuble'!#REF!&lt;2,('Résultat immeuble'!#REF!&gt;1)),'Référence&amp;tarifs'!#REF!,0)))))</f>
        <v>0</v>
      </c>
      <c r="AD47" s="109">
        <f>IF('Saisie immeuble'!I44+'Saisie immeuble'!J44&gt;0,18*'Saisie immeuble'!C44+3.5*('Saisie immeuble'!I44+'Saisie immeuble'!J44-1)*'Saisie immeuble'!C44,0)</f>
        <v>0</v>
      </c>
      <c r="AE47" s="110"/>
      <c r="AF47" s="111"/>
      <c r="AG47" s="97" t="e">
        <f t="shared" si="8"/>
        <v>#N/A</v>
      </c>
      <c r="AH47" s="52">
        <f>IF('Saisie immeuble'!I44+'Saisie immeuble'!J44&gt;0,350+80*('Saisie immeuble'!I44+'Saisie immeuble'!J44-1),0)</f>
        <v>0</v>
      </c>
      <c r="AI47" s="97" t="e">
        <f>IF('Saisie immeuble'!H44="gaz de ville",Feuil1!AB47,IF('Saisie immeuble'!H44=$B$72,V47,0))*Feuil1!AH47+IF(AND(R47&lt;&gt;"gaz",(S47&lt;&gt;"gaz"),('Saisie immeuble'!H44="gaz de ville")),Feuil1!AA47,0)</f>
        <v>#N/A</v>
      </c>
      <c r="AJ47" s="52" t="e">
        <f>VLOOKUP('Saisie immeuble'!E44,Feuil1!$G$58:$I$75,2,FALSE)</f>
        <v>#N/A</v>
      </c>
      <c r="AK47" s="1" t="e">
        <f>VLOOKUP('Saisie immeuble'!E44,Feuil1!$G$58:$I$75,3,FALSE)</f>
        <v>#N/A</v>
      </c>
      <c r="AL47" s="98" t="e">
        <f>IF(AK47="élec",V47,IF(AK47="gaz",AB47,IF(AK47="fioul",'Référence&amp;tarifs'!$B$25,IF(AK47="bois buche",'Référence&amp;tarifs'!$B$23,IF(AK47="bois granulés",'Référence&amp;tarifs'!$B$24,IF(AK47=I91,0.8*('Référence&amp;tarifs'!$B$23+'Référence&amp;tarifs'!B49)/2+0.2*Feuil1!AB47,0))))))</f>
        <v>#N/A</v>
      </c>
      <c r="AM47" s="52">
        <f>IF('Saisie immeuble'!I44+'Saisie immeuble'!J44&gt;0,Feuil1!$AM$13+2*('Saisie immeuble'!I44+'Saisie immeuble'!J44-1),0)</f>
        <v>0</v>
      </c>
      <c r="AN47" s="1">
        <f>IF('Saisie immeuble'!I44+'Saisie immeuble'!J44&gt;0,Feuil1!$AN$13*('Saisie immeuble'!I44+'Saisie immeuble'!J44),0)</f>
        <v>0</v>
      </c>
      <c r="AO47" s="1">
        <f>IF('Saisie immeuble'!I44+'Saisie immeuble'!J44&gt;0,Feuil1!$AO$13+3*('Saisie immeuble'!I44+'Saisie immeuble'!J44-1),0)</f>
        <v>0</v>
      </c>
      <c r="AP47" s="1">
        <f>IF('Saisie immeuble'!I44+'Saisie immeuble'!J44&gt;0,Feuil1!$AP$13+2*('Saisie immeuble'!I44+'Saisie immeuble'!J44-1),0)</f>
        <v>0</v>
      </c>
      <c r="AQ47" s="1">
        <f>IF('Saisie immeuble'!I44+'Saisie immeuble'!J44&gt;0,Feuil1!$AQ$13*('Saisie immeuble'!I44+'Saisie immeuble'!J44),0)</f>
        <v>0</v>
      </c>
      <c r="AR47" s="1">
        <f t="shared" si="9"/>
        <v>0</v>
      </c>
      <c r="AS47" s="99" t="e">
        <f>AR47*'Saisie immeuble'!$F$8+IF(AND(R47&lt;&gt;"gaz",(S47="gaz")),AA47,0)</f>
        <v>#N/A</v>
      </c>
      <c r="AT47" s="52">
        <f>IF('Saisie immeuble'!I44+'Saisie immeuble'!J44&gt;0,1100+700*('Saisie immeuble'!I44+'Saisie immeuble'!J44-1),0)</f>
        <v>0</v>
      </c>
      <c r="AU47" s="3" t="e">
        <f>IF(AW47="élec",Feuil1!V47,IF(AW47="gaz",Feuil1!AB47,IF(AW47="fioul",'Référence&amp;tarifs'!$B$25,IF(AW47="bois",('Référence&amp;tarifs'!$B$23+'Référence&amp;tarifs'!$B$24)/2,0))))</f>
        <v>#N/A</v>
      </c>
      <c r="AV47" s="1" t="e">
        <f>VLOOKUP('Saisie immeuble'!F44,Feuil1!$Q$57:$U$70,4,FALSE)</f>
        <v>#N/A</v>
      </c>
      <c r="AW47" s="1" t="e">
        <f>VLOOKUP('Saisie immeuble'!F44,Feuil1!$Q$57:$U$70,5,FALSE)</f>
        <v>#N/A</v>
      </c>
      <c r="AX47" s="97" t="e">
        <f t="shared" si="10"/>
        <v>#N/A</v>
      </c>
    </row>
    <row r="48" spans="2:50" x14ac:dyDescent="0.3">
      <c r="B48" s="52" t="s">
        <v>243</v>
      </c>
      <c r="C48" s="1">
        <f>IF('Saisie immeuble'!D45=Feuil1!$B$4,4,IF(AND('Saisie immeuble'!D45=$B$5,('Saisie immeuble'!$C$4=Feuil1!$C$5)),5,IF(AND('Saisie immeuble'!D45=$B$5,('Saisie immeuble'!$C$4=Feuil1!$C$6)),6,IF(AND('Saisie immeuble'!D45=Feuil1!$B$7,('Saisie immeuble'!$C$4=Feuil1!$C$7)),7,IF(AND('Saisie immeuble'!D45=Feuil1!$B$7,('Saisie immeuble'!$C$4=Feuil1!$C$8)),8,0)))))</f>
        <v>0</v>
      </c>
      <c r="D48" s="90" t="e">
        <f>HLOOKUP('Saisie immeuble'!$C$3,Feuil1!$D$1:$BM$8,Feuil1!C48,FALSE)</f>
        <v>#N/A</v>
      </c>
      <c r="E48" s="1" t="e">
        <f>HLOOKUP('Saisie immeuble'!$C$3,Feuil1!$D$1:$BM$8,3,FALSE)</f>
        <v>#N/A</v>
      </c>
      <c r="F48" s="1" t="e">
        <f>IF(E48=1,450+'Saisie immeuble'!C45*6,IF(E48=2,300+'Saisie immeuble'!C45*5,150+'Saisie immeuble'!C45*3))</f>
        <v>#N/A</v>
      </c>
      <c r="G48" s="1" t="e">
        <f>IF(E48=1,1400+'Saisie immeuble'!C45*6,IF(E48=2,1100+'Saisie immeuble'!C45*6,500+'Saisie immeuble'!C45*6))</f>
        <v>#N/A</v>
      </c>
      <c r="H48" s="90">
        <f>IF('Saisie immeuble'!$C$6="oui",IF('Saisie immeuble'!D45="dernier étage",IF(Feuil1!E48=1,0.4*Feuil1!D48,IF(Feuil1!E48=2,0.35*Feuil1!D48,IF(Feuil1!E48=3,0.3*Feuil1!D48,0))),0),0)</f>
        <v>0</v>
      </c>
      <c r="I48" s="90">
        <f>IF('Saisie immeuble'!$C$7="oui",IF(AND(Feuil1!E48=1,('Saisie immeuble'!$C$4=Feuil1!$C$5)),0.3*Feuil1!D48,IF(AND(Feuil1!E48=1,('Saisie immeuble'!$C$4=Feuil1!$C$6)),0.2*Feuil1!D48,IF(AND(Feuil1!E48=2,('Saisie immeuble'!$C$4=Feuil1!$C$5)),0.25*Feuil1!D48,IF(AND(Feuil1!E48=2,('Saisie immeuble'!$C$4=Feuil1!$C$6)),0.15*Feuil1!D48,IF(AND(Feuil1!E48=3,('Saisie immeuble'!$C$4=Feuil1!$C$5)),0.2*Feuil1!D48,IF(AND(Feuil1!E48=3,('Saisie immeuble'!$C$4=Feuil1!$C$6)),0.12*Feuil1!D48)))))),0)</f>
        <v>0</v>
      </c>
      <c r="J48" s="90">
        <f>IF('Saisie immeuble'!$C$8="oui",IF(AND(Feuil1!E48=1,('Saisie immeuble'!$C$4=Feuil1!$C$5)),0.22*Feuil1!D48,IF(AND(Feuil1!E48=1,('Saisie immeuble'!$C$4=Feuil1!$C$6)),0.14*Feuil1!D48,IF(AND(Feuil1!E48=2,('Saisie immeuble'!$C$4=Feuil1!$C$5)),0.2*Feuil1!D48,IF(AND(Feuil1!E48=2,('Saisie immeuble'!$C$4=Feuil1!$C$6)),0.12*Feuil1!D48,IF(AND(Feuil1!E48=3,('Saisie immeuble'!$C$4=Feuil1!$C$5)),0.16*Feuil1!D48,IF(AND(Feuil1!E48=3,('Saisie immeuble'!$C$4=Feuil1!$C$6)),0.1*Feuil1!D48)))))),0)</f>
        <v>0</v>
      </c>
      <c r="K48" s="90">
        <f>IF('Saisie immeuble'!$F$7="oui",IF('Saisie immeuble'!D45="rez de chaussée",IF(Feuil1!E48=1,0.2*Feuil1!D48,IF(Feuil1!E48=2,0.16*Feuil1!D48,IF(Feuil1!E48=3,0.12*Feuil1!D48,0))),0),0)</f>
        <v>0</v>
      </c>
      <c r="L48" s="1">
        <f>IF('Saisie immeuble'!C45&gt;0,IF('Saisie immeuble'!C45&gt;57,('Saisie immeuble'!C45-57)*55,('Saisie immeuble'!C45-57)*35),0)</f>
        <v>0</v>
      </c>
      <c r="M48" s="1">
        <f>IF('Saisie immeuble'!C45&gt;0,IF('Saisie immeuble'!$H$7=Feuil1!$B$78,IF(Feuil1!E48=1,700,IF(Feuil1!E48=2,550,400)),IF('Saisie immeuble'!$H$7=Feuil1!$B$79,IF(Feuil1!E48=1,350,IF(Feuil1!E48=2,275,200)),0))*(1-((57-'Saisie immeuble'!C45)/100)),0)</f>
        <v>0</v>
      </c>
      <c r="N48" s="90" t="e">
        <f>D48-IF('Saisie immeuble'!G45=Feuil1!$B$68,Feuil1!F48,IF('Saisie immeuble'!G45=Feuil1!$B$69,G48,0))-H48-I48-J48+L48-K48+M48</f>
        <v>#N/A</v>
      </c>
      <c r="O48" s="100" t="e">
        <f t="shared" si="6"/>
        <v>#N/A</v>
      </c>
      <c r="P48" s="90" t="e">
        <f>IF('Saisie immeuble'!$C$5="individuel",N48/AJ48,O48/AJ48)</f>
        <v>#N/A</v>
      </c>
      <c r="Q48" s="99" t="e">
        <f t="shared" si="7"/>
        <v>#N/A</v>
      </c>
      <c r="R48" s="52" t="e">
        <f>VLOOKUP('Saisie immeuble'!E45,Feuil1!$G$58:$I$75,3,0)</f>
        <v>#N/A</v>
      </c>
      <c r="S48" s="1" t="e">
        <f>VLOOKUP('Saisie immeuble'!F45,Feuil1!$Q$57:$U$70,5,FALSE)</f>
        <v>#N/A</v>
      </c>
      <c r="T48" s="1" t="e">
        <f>IF(AND(R48&lt;&gt;"élec",(S48&lt;&gt;"élec"),('Saisie immeuble'!C45&lt;40)),'Référence&amp;tarifs'!$A$6,IF(AND(R48="élec",(S48="élec")),'Référence&amp;tarifs'!$A$8,'Référence&amp;tarifs'!$A$7))</f>
        <v>#N/A</v>
      </c>
      <c r="U48" s="1" t="e">
        <f>VLOOKUP(T48,'Référence&amp;tarifs'!$A$6:$C$10,2,FALSE)</f>
        <v>#N/A</v>
      </c>
      <c r="V48" s="1" t="e">
        <f>VLOOKUP(T48,'Référence&amp;tarifs'!$A$6:$C$10,3,FALSE)</f>
        <v>#N/A</v>
      </c>
      <c r="W48" s="1"/>
      <c r="X48" s="51" t="e">
        <f>IF('Résultat immeuble'!T32&lt;1.1,HLOOKUP(Feuil1!T48,'Référence&amp;tarifs'!#REF!,2,FALSE),IF('Résultat immeuble'!T32&gt;1.9,HLOOKUP(Feuil1!T48,'Référence&amp;tarifs'!#REF!,4,FALSE),HLOOKUP(Feuil1!T48,'Référence&amp;tarifs'!#REF!,3,FALSE)))</f>
        <v>#N/A</v>
      </c>
      <c r="Y48" s="52" t="e">
        <f>IF(R48="gaz",N48,0)+IF(S48="gaz",AT48,0)+IF('Saisie immeuble'!H45="gaz de ville",Feuil1!AH48,0)</f>
        <v>#N/A</v>
      </c>
      <c r="Z48" s="1" t="e">
        <f>IF(Y48&lt;1000,'Référence&amp;tarifs'!$A$16,IF(Y48&gt;5999,'Référence&amp;tarifs'!$A$18,'Référence&amp;tarifs'!$A$17))</f>
        <v>#N/A</v>
      </c>
      <c r="AA48" s="1" t="e">
        <f>VLOOKUP(Z48,'Référence&amp;tarifs'!$A$16:$C$18,2,FALSE)</f>
        <v>#N/A</v>
      </c>
      <c r="AB48" s="1" t="e">
        <f>VLOOKUP(Z48,'Référence&amp;tarifs'!$A$16:$C$18,3,FALSE)</f>
        <v>#N/A</v>
      </c>
      <c r="AC48" s="58" t="b">
        <f>IF('Saisie immeuble'!$C$5="individuel",IF('Résultat immeuble'!T32=1,HLOOKUP(Feuil1!Z48,'Référence&amp;tarifs'!#REF!,2,FALSE),IF('Résultat immeuble'!T32&gt;1.9,HLOOKUP(Feuil1!Z48,'Référence&amp;tarifs'!#REF!,4,FALSE),HLOOKUP(Feuil1!Z48,'Référence&amp;tarifs'!#REF!,3,FALSE))),IF('Saisie immeuble'!$C$5="collectif",IF('Résultat immeuble'!T32=1,'Référence&amp;tarifs'!#REF!,IF('Résultat immeuble'!T32&gt;1.9,'Référence&amp;tarifs'!#REF!,IF(AND('Résultat immeuble'!T32&lt;2,('Résultat immeuble'!T32&gt;1)),'Référence&amp;tarifs'!#REF!,0)))))</f>
        <v>0</v>
      </c>
      <c r="AD48" s="109">
        <f>IF('Saisie immeuble'!I45+'Saisie immeuble'!J45&gt;0,18*'Saisie immeuble'!C45+3.5*('Saisie immeuble'!I45+'Saisie immeuble'!J45-1)*'Saisie immeuble'!C45,0)</f>
        <v>0</v>
      </c>
      <c r="AE48" s="110"/>
      <c r="AF48" s="111"/>
      <c r="AG48" s="97" t="e">
        <f t="shared" si="8"/>
        <v>#N/A</v>
      </c>
      <c r="AH48" s="52">
        <f>IF('Saisie immeuble'!I45+'Saisie immeuble'!J45&gt;0,350+80*('Saisie immeuble'!I45+'Saisie immeuble'!J45-1),0)</f>
        <v>0</v>
      </c>
      <c r="AI48" s="97" t="e">
        <f>IF('Saisie immeuble'!H45="gaz de ville",Feuil1!AB48,IF('Saisie immeuble'!H45=$B$72,V48,0))*Feuil1!AH48+IF(AND(R48&lt;&gt;"gaz",(S48&lt;&gt;"gaz"),('Saisie immeuble'!H45="gaz de ville")),Feuil1!AA48,0)</f>
        <v>#N/A</v>
      </c>
      <c r="AJ48" s="52" t="e">
        <f>VLOOKUP('Saisie immeuble'!E45,Feuil1!$G$58:$I$75,2,FALSE)</f>
        <v>#N/A</v>
      </c>
      <c r="AK48" s="1" t="e">
        <f>VLOOKUP('Saisie immeuble'!E45,Feuil1!$G$58:$I$75,3,FALSE)</f>
        <v>#N/A</v>
      </c>
      <c r="AL48" s="98" t="e">
        <f>IF(AK48="élec",V48,IF(AK48="gaz",AB48,IF(AK48="fioul",'Référence&amp;tarifs'!$B$25,IF(AK48="bois buche",'Référence&amp;tarifs'!$B$23,IF(AK48="bois granulés",'Référence&amp;tarifs'!$B$24,IF(AK48=I92,0.8*('Référence&amp;tarifs'!$B$23+'Référence&amp;tarifs'!B50)/2+0.2*Feuil1!AB48,0))))))</f>
        <v>#N/A</v>
      </c>
      <c r="AM48" s="52">
        <f>IF('Saisie immeuble'!I45+'Saisie immeuble'!J45&gt;0,Feuil1!$AM$13+2*('Saisie immeuble'!I45+'Saisie immeuble'!J45-1),0)</f>
        <v>0</v>
      </c>
      <c r="AN48" s="1">
        <f>IF('Saisie immeuble'!I45+'Saisie immeuble'!J45&gt;0,Feuil1!$AN$13*('Saisie immeuble'!I45+'Saisie immeuble'!J45),0)</f>
        <v>0</v>
      </c>
      <c r="AO48" s="1">
        <f>IF('Saisie immeuble'!I45+'Saisie immeuble'!J45&gt;0,Feuil1!$AO$13+3*('Saisie immeuble'!I45+'Saisie immeuble'!J45-1),0)</f>
        <v>0</v>
      </c>
      <c r="AP48" s="1">
        <f>IF('Saisie immeuble'!I45+'Saisie immeuble'!J45&gt;0,Feuil1!$AP$13+2*('Saisie immeuble'!I45+'Saisie immeuble'!J45-1),0)</f>
        <v>0</v>
      </c>
      <c r="AQ48" s="1">
        <f>IF('Saisie immeuble'!I45+'Saisie immeuble'!J45&gt;0,Feuil1!$AQ$13*('Saisie immeuble'!I45+'Saisie immeuble'!J45),0)</f>
        <v>0</v>
      </c>
      <c r="AR48" s="1">
        <f t="shared" si="9"/>
        <v>0</v>
      </c>
      <c r="AS48" s="99" t="e">
        <f>AR48*'Saisie immeuble'!$F$8+IF(AND(R48&lt;&gt;"gaz",(S48="gaz")),AA48,0)</f>
        <v>#N/A</v>
      </c>
      <c r="AT48" s="52">
        <f>IF('Saisie immeuble'!I45+'Saisie immeuble'!J45&gt;0,1100+700*('Saisie immeuble'!I45+'Saisie immeuble'!J45-1),0)</f>
        <v>0</v>
      </c>
      <c r="AU48" s="3" t="e">
        <f>IF(AW48="élec",Feuil1!V48,IF(AW48="gaz",Feuil1!AB48,IF(AW48="fioul",'Référence&amp;tarifs'!$B$25,IF(AW48="bois",('Référence&amp;tarifs'!$B$23+'Référence&amp;tarifs'!$B$24)/2,0))))</f>
        <v>#N/A</v>
      </c>
      <c r="AV48" s="1" t="e">
        <f>VLOOKUP('Saisie immeuble'!F45,Feuil1!$Q$57:$U$70,4,FALSE)</f>
        <v>#N/A</v>
      </c>
      <c r="AW48" s="1" t="e">
        <f>VLOOKUP('Saisie immeuble'!F45,Feuil1!$Q$57:$U$70,5,FALSE)</f>
        <v>#N/A</v>
      </c>
      <c r="AX48" s="97" t="e">
        <f t="shared" si="10"/>
        <v>#N/A</v>
      </c>
    </row>
    <row r="49" spans="2:50" x14ac:dyDescent="0.3">
      <c r="B49" s="52" t="s">
        <v>244</v>
      </c>
      <c r="C49" s="1">
        <f>IF('Saisie immeuble'!D46=Feuil1!$B$4,4,IF(AND('Saisie immeuble'!D46=$B$5,('Saisie immeuble'!$C$4=Feuil1!$C$5)),5,IF(AND('Saisie immeuble'!D46=$B$5,('Saisie immeuble'!$C$4=Feuil1!$C$6)),6,IF(AND('Saisie immeuble'!D46=Feuil1!$B$7,('Saisie immeuble'!$C$4=Feuil1!$C$7)),7,IF(AND('Saisie immeuble'!D46=Feuil1!$B$7,('Saisie immeuble'!$C$4=Feuil1!$C$8)),8,0)))))</f>
        <v>0</v>
      </c>
      <c r="D49" s="90" t="e">
        <f>HLOOKUP('Saisie immeuble'!$C$3,Feuil1!$D$1:$BM$8,Feuil1!C49,FALSE)</f>
        <v>#N/A</v>
      </c>
      <c r="E49" s="1" t="e">
        <f>HLOOKUP('Saisie immeuble'!$C$3,Feuil1!$D$1:$BM$8,3,FALSE)</f>
        <v>#N/A</v>
      </c>
      <c r="F49" s="1" t="e">
        <f>IF(E49=1,450+'Saisie immeuble'!C46*6,IF(E49=2,300+'Saisie immeuble'!C46*5,150+'Saisie immeuble'!C46*3))</f>
        <v>#N/A</v>
      </c>
      <c r="G49" s="1" t="e">
        <f>IF(E49=1,1400+'Saisie immeuble'!C46*6,IF(E49=2,1100+'Saisie immeuble'!C46*6,500+'Saisie immeuble'!C46*6))</f>
        <v>#N/A</v>
      </c>
      <c r="H49" s="90">
        <f>IF('Saisie immeuble'!$C$6="oui",IF('Saisie immeuble'!D46="dernier étage",IF(Feuil1!E49=1,0.4*Feuil1!D49,IF(Feuil1!E49=2,0.35*Feuil1!D49,IF(Feuil1!E49=3,0.3*Feuil1!D49,0))),0),0)</f>
        <v>0</v>
      </c>
      <c r="I49" s="90">
        <f>IF('Saisie immeuble'!$C$7="oui",IF(AND(Feuil1!E49=1,('Saisie immeuble'!$C$4=Feuil1!$C$5)),0.3*Feuil1!D49,IF(AND(Feuil1!E49=1,('Saisie immeuble'!$C$4=Feuil1!$C$6)),0.2*Feuil1!D49,IF(AND(Feuil1!E49=2,('Saisie immeuble'!$C$4=Feuil1!$C$5)),0.25*Feuil1!D49,IF(AND(Feuil1!E49=2,('Saisie immeuble'!$C$4=Feuil1!$C$6)),0.15*Feuil1!D49,IF(AND(Feuil1!E49=3,('Saisie immeuble'!$C$4=Feuil1!$C$5)),0.2*Feuil1!D49,IF(AND(Feuil1!E49=3,('Saisie immeuble'!$C$4=Feuil1!$C$6)),0.12*Feuil1!D49)))))),0)</f>
        <v>0</v>
      </c>
      <c r="J49" s="90">
        <f>IF('Saisie immeuble'!$C$8="oui",IF(AND(Feuil1!E49=1,('Saisie immeuble'!$C$4=Feuil1!$C$5)),0.22*Feuil1!D49,IF(AND(Feuil1!E49=1,('Saisie immeuble'!$C$4=Feuil1!$C$6)),0.14*Feuil1!D49,IF(AND(Feuil1!E49=2,('Saisie immeuble'!$C$4=Feuil1!$C$5)),0.2*Feuil1!D49,IF(AND(Feuil1!E49=2,('Saisie immeuble'!$C$4=Feuil1!$C$6)),0.12*Feuil1!D49,IF(AND(Feuil1!E49=3,('Saisie immeuble'!$C$4=Feuil1!$C$5)),0.16*Feuil1!D49,IF(AND(Feuil1!E49=3,('Saisie immeuble'!$C$4=Feuil1!$C$6)),0.1*Feuil1!D49)))))),0)</f>
        <v>0</v>
      </c>
      <c r="K49" s="90">
        <f>IF('Saisie immeuble'!$F$7="oui",IF('Saisie immeuble'!D46="rez de chaussée",IF(Feuil1!E49=1,0.2*Feuil1!D49,IF(Feuil1!E49=2,0.16*Feuil1!D49,IF(Feuil1!E49=3,0.12*Feuil1!D49,0))),0),0)</f>
        <v>0</v>
      </c>
      <c r="L49" s="1">
        <f>IF('Saisie immeuble'!C46&gt;0,IF('Saisie immeuble'!C46&gt;57,('Saisie immeuble'!C46-57)*55,('Saisie immeuble'!C46-57)*35),0)</f>
        <v>0</v>
      </c>
      <c r="M49" s="1">
        <f>IF('Saisie immeuble'!C46&gt;0,IF('Saisie immeuble'!$H$7=Feuil1!$B$78,IF(Feuil1!E49=1,700,IF(Feuil1!E49=2,550,400)),IF('Saisie immeuble'!$H$7=Feuil1!$B$79,IF(Feuil1!E49=1,350,IF(Feuil1!E49=2,275,200)),0))*(1-((57-'Saisie immeuble'!C46)/100)),0)</f>
        <v>0</v>
      </c>
      <c r="N49" s="90" t="e">
        <f>D49-IF('Saisie immeuble'!G46=Feuil1!$B$68,Feuil1!F49,IF('Saisie immeuble'!G46=Feuil1!$B$69,G49,0))-H49-I49-J49+L49-K49+M49</f>
        <v>#N/A</v>
      </c>
      <c r="O49" s="100" t="e">
        <f t="shared" si="6"/>
        <v>#N/A</v>
      </c>
      <c r="P49" s="90" t="e">
        <f>IF('Saisie immeuble'!$C$5="individuel",N49/AJ49,O49/AJ49)</f>
        <v>#N/A</v>
      </c>
      <c r="Q49" s="99" t="e">
        <f t="shared" si="7"/>
        <v>#N/A</v>
      </c>
      <c r="R49" s="52" t="e">
        <f>VLOOKUP('Saisie immeuble'!E46,Feuil1!$G$58:$I$75,3,0)</f>
        <v>#N/A</v>
      </c>
      <c r="S49" s="1" t="e">
        <f>VLOOKUP('Saisie immeuble'!F46,Feuil1!$Q$57:$U$70,5,FALSE)</f>
        <v>#N/A</v>
      </c>
      <c r="T49" s="1" t="e">
        <f>IF(AND(R49&lt;&gt;"élec",(S49&lt;&gt;"élec"),('Saisie immeuble'!C46&lt;40)),'Référence&amp;tarifs'!$A$6,IF(AND(R49="élec",(S49="élec")),'Référence&amp;tarifs'!$A$8,'Référence&amp;tarifs'!$A$7))</f>
        <v>#N/A</v>
      </c>
      <c r="U49" s="1" t="e">
        <f>VLOOKUP(T49,'Référence&amp;tarifs'!$A$6:$C$10,2,FALSE)</f>
        <v>#N/A</v>
      </c>
      <c r="V49" s="1" t="e">
        <f>VLOOKUP(T49,'Référence&amp;tarifs'!$A$6:$C$10,3,FALSE)</f>
        <v>#N/A</v>
      </c>
      <c r="W49" s="1"/>
      <c r="X49" s="51" t="e">
        <f>IF('Résultat immeuble'!T33&lt;1.1,HLOOKUP(Feuil1!T49,'Référence&amp;tarifs'!#REF!,2,FALSE),IF('Résultat immeuble'!T33&gt;1.9,HLOOKUP(Feuil1!T49,'Référence&amp;tarifs'!#REF!,4,FALSE),HLOOKUP(Feuil1!T49,'Référence&amp;tarifs'!#REF!,3,FALSE)))</f>
        <v>#N/A</v>
      </c>
      <c r="Y49" s="52" t="e">
        <f>IF(R49="gaz",N49,0)+IF(S49="gaz",AT49,0)+IF('Saisie immeuble'!H46="gaz de ville",Feuil1!AH49,0)</f>
        <v>#N/A</v>
      </c>
      <c r="Z49" s="1" t="e">
        <f>IF(Y49&lt;1000,'Référence&amp;tarifs'!$A$16,IF(Y49&gt;5999,'Référence&amp;tarifs'!$A$18,'Référence&amp;tarifs'!$A$17))</f>
        <v>#N/A</v>
      </c>
      <c r="AA49" s="1" t="e">
        <f>VLOOKUP(Z49,'Référence&amp;tarifs'!$A$16:$C$18,2,FALSE)</f>
        <v>#N/A</v>
      </c>
      <c r="AB49" s="1" t="e">
        <f>VLOOKUP(Z49,'Référence&amp;tarifs'!$A$16:$C$18,3,FALSE)</f>
        <v>#N/A</v>
      </c>
      <c r="AC49" s="58" t="b">
        <f>IF('Saisie immeuble'!$C$5="individuel",IF('Résultat immeuble'!T33=1,HLOOKUP(Feuil1!Z49,'Référence&amp;tarifs'!#REF!,2,FALSE),IF('Résultat immeuble'!T33&gt;1.9,HLOOKUP(Feuil1!Z49,'Référence&amp;tarifs'!#REF!,4,FALSE),HLOOKUP(Feuil1!Z49,'Référence&amp;tarifs'!#REF!,3,FALSE))),IF('Saisie immeuble'!$C$5="collectif",IF('Résultat immeuble'!T33=1,'Référence&amp;tarifs'!#REF!,IF('Résultat immeuble'!T33&gt;1.9,'Référence&amp;tarifs'!#REF!,IF(AND('Résultat immeuble'!T33&lt;2,('Résultat immeuble'!T33&gt;1)),'Référence&amp;tarifs'!#REF!,0)))))</f>
        <v>0</v>
      </c>
      <c r="AD49" s="109">
        <f>IF('Saisie immeuble'!I46+'Saisie immeuble'!J46&gt;0,18*'Saisie immeuble'!C46+3.5*('Saisie immeuble'!I46+'Saisie immeuble'!J46-1)*'Saisie immeuble'!C46,0)</f>
        <v>0</v>
      </c>
      <c r="AE49" s="110"/>
      <c r="AF49" s="111"/>
      <c r="AG49" s="97" t="e">
        <f t="shared" si="8"/>
        <v>#N/A</v>
      </c>
      <c r="AH49" s="52">
        <f>IF('Saisie immeuble'!I46+'Saisie immeuble'!J46&gt;0,350+80*('Saisie immeuble'!I46+'Saisie immeuble'!J46-1),0)</f>
        <v>0</v>
      </c>
      <c r="AI49" s="97" t="e">
        <f>IF('Saisie immeuble'!H46="gaz de ville",Feuil1!AB49,IF('Saisie immeuble'!H46=$B$72,V49,0))*Feuil1!AH49+IF(AND(R49&lt;&gt;"gaz",(S49&lt;&gt;"gaz"),('Saisie immeuble'!H46="gaz de ville")),Feuil1!AA49,0)</f>
        <v>#N/A</v>
      </c>
      <c r="AJ49" s="52" t="e">
        <f>VLOOKUP('Saisie immeuble'!E46,Feuil1!$G$58:$I$75,2,FALSE)</f>
        <v>#N/A</v>
      </c>
      <c r="AK49" s="1" t="e">
        <f>VLOOKUP('Saisie immeuble'!E46,Feuil1!$G$58:$I$75,3,FALSE)</f>
        <v>#N/A</v>
      </c>
      <c r="AL49" s="98" t="e">
        <f>IF(AK49="élec",V49,IF(AK49="gaz",AB49,IF(AK49="fioul",'Référence&amp;tarifs'!$B$25,IF(AK49="bois buche",'Référence&amp;tarifs'!$B$23,IF(AK49="bois granulés",'Référence&amp;tarifs'!$B$24,IF(AK49=I93,0.8*('Référence&amp;tarifs'!$B$23+'Référence&amp;tarifs'!B51)/2+0.2*Feuil1!AB49,0))))))</f>
        <v>#N/A</v>
      </c>
      <c r="AM49" s="52">
        <f>IF('Saisie immeuble'!I46+'Saisie immeuble'!J46&gt;0,Feuil1!$AM$13+2*('Saisie immeuble'!I46+'Saisie immeuble'!J46-1),0)</f>
        <v>0</v>
      </c>
      <c r="AN49" s="1">
        <f>IF('Saisie immeuble'!I46+'Saisie immeuble'!J46&gt;0,Feuil1!$AN$13*('Saisie immeuble'!I46+'Saisie immeuble'!J46),0)</f>
        <v>0</v>
      </c>
      <c r="AO49" s="1">
        <f>IF('Saisie immeuble'!I46+'Saisie immeuble'!J46&gt;0,Feuil1!$AO$13+3*('Saisie immeuble'!I46+'Saisie immeuble'!J46-1),0)</f>
        <v>0</v>
      </c>
      <c r="AP49" s="1">
        <f>IF('Saisie immeuble'!I46+'Saisie immeuble'!J46&gt;0,Feuil1!$AP$13+2*('Saisie immeuble'!I46+'Saisie immeuble'!J46-1),0)</f>
        <v>0</v>
      </c>
      <c r="AQ49" s="1">
        <f>IF('Saisie immeuble'!I46+'Saisie immeuble'!J46&gt;0,Feuil1!$AQ$13*('Saisie immeuble'!I46+'Saisie immeuble'!J46),0)</f>
        <v>0</v>
      </c>
      <c r="AR49" s="1">
        <f t="shared" si="9"/>
        <v>0</v>
      </c>
      <c r="AS49" s="99" t="e">
        <f>AR49*'Saisie immeuble'!$F$8+IF(AND(R49&lt;&gt;"gaz",(S49="gaz")),AA49,0)</f>
        <v>#N/A</v>
      </c>
      <c r="AT49" s="52">
        <f>IF('Saisie immeuble'!I46+'Saisie immeuble'!J46&gt;0,1100+700*('Saisie immeuble'!I46+'Saisie immeuble'!J46-1),0)</f>
        <v>0</v>
      </c>
      <c r="AU49" s="3" t="e">
        <f>IF(AW49="élec",Feuil1!V49,IF(AW49="gaz",Feuil1!AB49,IF(AW49="fioul",'Référence&amp;tarifs'!$B$25,IF(AW49="bois",('Référence&amp;tarifs'!$B$23+'Référence&amp;tarifs'!$B$24)/2,0))))</f>
        <v>#N/A</v>
      </c>
      <c r="AV49" s="1" t="e">
        <f>VLOOKUP('Saisie immeuble'!F46,Feuil1!$Q$57:$U$70,4,FALSE)</f>
        <v>#N/A</v>
      </c>
      <c r="AW49" s="1" t="e">
        <f>VLOOKUP('Saisie immeuble'!F46,Feuil1!$Q$57:$U$70,5,FALSE)</f>
        <v>#N/A</v>
      </c>
      <c r="AX49" s="97" t="e">
        <f t="shared" si="10"/>
        <v>#N/A</v>
      </c>
    </row>
    <row r="50" spans="2:50" x14ac:dyDescent="0.3">
      <c r="B50" s="52" t="s">
        <v>245</v>
      </c>
      <c r="C50" s="1">
        <f>IF('Saisie immeuble'!D47=Feuil1!$B$4,4,IF(AND('Saisie immeuble'!D47=$B$5,('Saisie immeuble'!$C$4=Feuil1!$C$5)),5,IF(AND('Saisie immeuble'!D47=$B$5,('Saisie immeuble'!$C$4=Feuil1!$C$6)),6,IF(AND('Saisie immeuble'!D47=Feuil1!$B$7,('Saisie immeuble'!$C$4=Feuil1!$C$7)),7,IF(AND('Saisie immeuble'!D47=Feuil1!$B$7,('Saisie immeuble'!$C$4=Feuil1!$C$8)),8,0)))))</f>
        <v>0</v>
      </c>
      <c r="D50" s="90" t="e">
        <f>HLOOKUP('Saisie immeuble'!$C$3,Feuil1!$D$1:$BM$8,Feuil1!C50,FALSE)</f>
        <v>#N/A</v>
      </c>
      <c r="E50" s="1" t="e">
        <f>HLOOKUP('Saisie immeuble'!$C$3,Feuil1!$D$1:$BM$8,3,FALSE)</f>
        <v>#N/A</v>
      </c>
      <c r="F50" s="1" t="e">
        <f>IF(E50=1,450+'Saisie immeuble'!C47*6,IF(E50=2,300+'Saisie immeuble'!C47*5,150+'Saisie immeuble'!C47*3))</f>
        <v>#N/A</v>
      </c>
      <c r="G50" s="1" t="e">
        <f>IF(E50=1,1400+'Saisie immeuble'!C47*6,IF(E50=2,1100+'Saisie immeuble'!C47*6,500+'Saisie immeuble'!C47*6))</f>
        <v>#N/A</v>
      </c>
      <c r="H50" s="90">
        <f>IF('Saisie immeuble'!$C$6="oui",IF('Saisie immeuble'!D47="dernier étage",IF(Feuil1!E50=1,0.4*Feuil1!D50,IF(Feuil1!E50=2,0.35*Feuil1!D50,IF(Feuil1!E50=3,0.3*Feuil1!D50,0))),0),0)</f>
        <v>0</v>
      </c>
      <c r="I50" s="90">
        <f>IF('Saisie immeuble'!$C$7="oui",IF(AND(Feuil1!E50=1,('Saisie immeuble'!$C$4=Feuil1!$C$5)),0.3*Feuil1!D50,IF(AND(Feuil1!E50=1,('Saisie immeuble'!$C$4=Feuil1!$C$6)),0.2*Feuil1!D50,IF(AND(Feuil1!E50=2,('Saisie immeuble'!$C$4=Feuil1!$C$5)),0.25*Feuil1!D50,IF(AND(Feuil1!E50=2,('Saisie immeuble'!$C$4=Feuil1!$C$6)),0.15*Feuil1!D50,IF(AND(Feuil1!E50=3,('Saisie immeuble'!$C$4=Feuil1!$C$5)),0.2*Feuil1!D50,IF(AND(Feuil1!E50=3,('Saisie immeuble'!$C$4=Feuil1!$C$6)),0.12*Feuil1!D50)))))),0)</f>
        <v>0</v>
      </c>
      <c r="J50" s="90">
        <f>IF('Saisie immeuble'!$C$8="oui",IF(AND(Feuil1!E50=1,('Saisie immeuble'!$C$4=Feuil1!$C$5)),0.22*Feuil1!D50,IF(AND(Feuil1!E50=1,('Saisie immeuble'!$C$4=Feuil1!$C$6)),0.14*Feuil1!D50,IF(AND(Feuil1!E50=2,('Saisie immeuble'!$C$4=Feuil1!$C$5)),0.2*Feuil1!D50,IF(AND(Feuil1!E50=2,('Saisie immeuble'!$C$4=Feuil1!$C$6)),0.12*Feuil1!D50,IF(AND(Feuil1!E50=3,('Saisie immeuble'!$C$4=Feuil1!$C$5)),0.16*Feuil1!D50,IF(AND(Feuil1!E50=3,('Saisie immeuble'!$C$4=Feuil1!$C$6)),0.1*Feuil1!D50)))))),0)</f>
        <v>0</v>
      </c>
      <c r="K50" s="90">
        <f>IF('Saisie immeuble'!$F$7="oui",IF('Saisie immeuble'!D47="rez de chaussée",IF(Feuil1!E50=1,0.2*Feuil1!D50,IF(Feuil1!E50=2,0.16*Feuil1!D50,IF(Feuil1!E50=3,0.12*Feuil1!D50,0))),0),0)</f>
        <v>0</v>
      </c>
      <c r="L50" s="1">
        <f>IF('Saisie immeuble'!C47&gt;0,IF('Saisie immeuble'!C47&gt;57,('Saisie immeuble'!C47-57)*55,('Saisie immeuble'!C47-57)*35),0)</f>
        <v>0</v>
      </c>
      <c r="M50" s="1">
        <f>IF('Saisie immeuble'!C47&gt;0,IF('Saisie immeuble'!$H$7=Feuil1!$B$78,IF(Feuil1!E50=1,700,IF(Feuil1!E50=2,550,400)),IF('Saisie immeuble'!$H$7=Feuil1!$B$79,IF(Feuil1!E50=1,350,IF(Feuil1!E50=2,275,200)),0))*(1-((57-'Saisie immeuble'!C47)/100)),0)</f>
        <v>0</v>
      </c>
      <c r="N50" s="90" t="e">
        <f>D50-IF('Saisie immeuble'!G47=Feuil1!$B$68,Feuil1!F50,IF('Saisie immeuble'!G47=Feuil1!$B$69,G50,0))-H50-I50-J50+L50-K50+M50</f>
        <v>#N/A</v>
      </c>
      <c r="O50" s="100" t="e">
        <f t="shared" si="6"/>
        <v>#N/A</v>
      </c>
      <c r="P50" s="90" t="e">
        <f>IF('Saisie immeuble'!$C$5="individuel",N50/AJ50,O50/AJ50)</f>
        <v>#N/A</v>
      </c>
      <c r="Q50" s="99" t="e">
        <f t="shared" si="7"/>
        <v>#N/A</v>
      </c>
      <c r="R50" s="52" t="e">
        <f>VLOOKUP('Saisie immeuble'!E47,Feuil1!$G$58:$I$75,3,0)</f>
        <v>#N/A</v>
      </c>
      <c r="S50" s="1" t="e">
        <f>VLOOKUP('Saisie immeuble'!F47,Feuil1!$Q$57:$U$70,5,FALSE)</f>
        <v>#N/A</v>
      </c>
      <c r="T50" s="1" t="e">
        <f>IF(AND(R50&lt;&gt;"élec",(S50&lt;&gt;"élec"),('Saisie immeuble'!C47&lt;40)),'Référence&amp;tarifs'!$A$6,IF(AND(R50="élec",(S50="élec")),'Référence&amp;tarifs'!$A$8,'Référence&amp;tarifs'!$A$7))</f>
        <v>#N/A</v>
      </c>
      <c r="U50" s="1" t="e">
        <f>VLOOKUP(T50,'Référence&amp;tarifs'!$A$6:$C$10,2,FALSE)</f>
        <v>#N/A</v>
      </c>
      <c r="V50" s="1" t="e">
        <f>VLOOKUP(T50,'Référence&amp;tarifs'!$A$6:$C$10,3,FALSE)</f>
        <v>#N/A</v>
      </c>
      <c r="W50" s="1"/>
      <c r="X50" s="51" t="e">
        <f>IF('Résultat immeuble'!T34&lt;1.1,HLOOKUP(Feuil1!T50,'Référence&amp;tarifs'!#REF!,2,FALSE),IF('Résultat immeuble'!T34&gt;1.9,HLOOKUP(Feuil1!T50,'Référence&amp;tarifs'!#REF!,4,FALSE),HLOOKUP(Feuil1!T50,'Référence&amp;tarifs'!#REF!,3,FALSE)))</f>
        <v>#N/A</v>
      </c>
      <c r="Y50" s="52" t="e">
        <f>IF(R50="gaz",N50,0)+IF(S50="gaz",AT50,0)+IF('Saisie immeuble'!H47="gaz de ville",Feuil1!AH50,0)</f>
        <v>#N/A</v>
      </c>
      <c r="Z50" s="1" t="e">
        <f>IF(Y50&lt;1000,'Référence&amp;tarifs'!$A$16,IF(Y50&gt;5999,'Référence&amp;tarifs'!$A$18,'Référence&amp;tarifs'!$A$17))</f>
        <v>#N/A</v>
      </c>
      <c r="AA50" s="1" t="e">
        <f>VLOOKUP(Z50,'Référence&amp;tarifs'!$A$16:$C$18,2,FALSE)</f>
        <v>#N/A</v>
      </c>
      <c r="AB50" s="1" t="e">
        <f>VLOOKUP(Z50,'Référence&amp;tarifs'!$A$16:$C$18,3,FALSE)</f>
        <v>#N/A</v>
      </c>
      <c r="AC50" s="58" t="b">
        <f>IF('Saisie immeuble'!$C$5="individuel",IF('Résultat immeuble'!T34=1,HLOOKUP(Feuil1!Z50,'Référence&amp;tarifs'!#REF!,2,FALSE),IF('Résultat immeuble'!T34&gt;1.9,HLOOKUP(Feuil1!Z50,'Référence&amp;tarifs'!#REF!,4,FALSE),HLOOKUP(Feuil1!Z50,'Référence&amp;tarifs'!#REF!,3,FALSE))),IF('Saisie immeuble'!$C$5="collectif",IF('Résultat immeuble'!T34=1,'Référence&amp;tarifs'!#REF!,IF('Résultat immeuble'!T34&gt;1.9,'Référence&amp;tarifs'!#REF!,IF(AND('Résultat immeuble'!T34&lt;2,('Résultat immeuble'!T34&gt;1)),'Référence&amp;tarifs'!#REF!,0)))))</f>
        <v>0</v>
      </c>
      <c r="AD50" s="109">
        <f>IF('Saisie immeuble'!I47+'Saisie immeuble'!J47&gt;0,18*'Saisie immeuble'!C47+3.5*('Saisie immeuble'!I47+'Saisie immeuble'!J47-1)*'Saisie immeuble'!C47,0)</f>
        <v>0</v>
      </c>
      <c r="AE50" s="110"/>
      <c r="AF50" s="111"/>
      <c r="AG50" s="97" t="e">
        <f t="shared" si="8"/>
        <v>#N/A</v>
      </c>
      <c r="AH50" s="52">
        <f>IF('Saisie immeuble'!I47+'Saisie immeuble'!J47&gt;0,350+80*('Saisie immeuble'!I47+'Saisie immeuble'!J47-1),0)</f>
        <v>0</v>
      </c>
      <c r="AI50" s="97" t="e">
        <f>IF('Saisie immeuble'!H47="gaz de ville",Feuil1!AB50,IF('Saisie immeuble'!H47=$B$72,V50,0))*Feuil1!AH50+IF(AND(R50&lt;&gt;"gaz",(S50&lt;&gt;"gaz"),('Saisie immeuble'!H47="gaz de ville")),Feuil1!AA50,0)</f>
        <v>#N/A</v>
      </c>
      <c r="AJ50" s="52" t="e">
        <f>VLOOKUP('Saisie immeuble'!E47,Feuil1!$G$58:$I$75,2,FALSE)</f>
        <v>#N/A</v>
      </c>
      <c r="AK50" s="1" t="e">
        <f>VLOOKUP('Saisie immeuble'!E47,Feuil1!$G$58:$I$75,3,FALSE)</f>
        <v>#N/A</v>
      </c>
      <c r="AL50" s="98" t="e">
        <f>IF(AK50="élec",V50,IF(AK50="gaz",AB50,IF(AK50="fioul",'Référence&amp;tarifs'!$B$25,IF(AK50="bois buche",'Référence&amp;tarifs'!$B$23,IF(AK50="bois granulés",'Référence&amp;tarifs'!$B$24,IF(AK50=I94,0.8*('Référence&amp;tarifs'!$B$23+'Référence&amp;tarifs'!B52)/2+0.2*Feuil1!AB50,0))))))</f>
        <v>#N/A</v>
      </c>
      <c r="AM50" s="52">
        <f>IF('Saisie immeuble'!I47+'Saisie immeuble'!J47&gt;0,Feuil1!$AM$13+2*('Saisie immeuble'!I47+'Saisie immeuble'!J47-1),0)</f>
        <v>0</v>
      </c>
      <c r="AN50" s="1">
        <f>IF('Saisie immeuble'!I47+'Saisie immeuble'!J47&gt;0,Feuil1!$AN$13*('Saisie immeuble'!I47+'Saisie immeuble'!J47),0)</f>
        <v>0</v>
      </c>
      <c r="AO50" s="1">
        <f>IF('Saisie immeuble'!I47+'Saisie immeuble'!J47&gt;0,Feuil1!$AO$13+3*('Saisie immeuble'!I47+'Saisie immeuble'!J47-1),0)</f>
        <v>0</v>
      </c>
      <c r="AP50" s="1">
        <f>IF('Saisie immeuble'!I47+'Saisie immeuble'!J47&gt;0,Feuil1!$AP$13+2*('Saisie immeuble'!I47+'Saisie immeuble'!J47-1),0)</f>
        <v>0</v>
      </c>
      <c r="AQ50" s="1">
        <f>IF('Saisie immeuble'!I47+'Saisie immeuble'!J47&gt;0,Feuil1!$AQ$13*('Saisie immeuble'!I47+'Saisie immeuble'!J47),0)</f>
        <v>0</v>
      </c>
      <c r="AR50" s="1">
        <f t="shared" si="9"/>
        <v>0</v>
      </c>
      <c r="AS50" s="99" t="e">
        <f>AR50*'Saisie immeuble'!$F$8+IF(AND(R50&lt;&gt;"gaz",(S50="gaz")),AA50,0)</f>
        <v>#N/A</v>
      </c>
      <c r="AT50" s="52">
        <f>IF('Saisie immeuble'!I47+'Saisie immeuble'!J47&gt;0,1100+700*('Saisie immeuble'!I47+'Saisie immeuble'!J47-1),0)</f>
        <v>0</v>
      </c>
      <c r="AU50" s="3" t="e">
        <f>IF(AW50="élec",Feuil1!V50,IF(AW50="gaz",Feuil1!AB50,IF(AW50="fioul",'Référence&amp;tarifs'!$B$25,IF(AW50="bois",('Référence&amp;tarifs'!$B$23+'Référence&amp;tarifs'!$B$24)/2,0))))</f>
        <v>#N/A</v>
      </c>
      <c r="AV50" s="1" t="e">
        <f>VLOOKUP('Saisie immeuble'!F47,Feuil1!$Q$57:$U$70,4,FALSE)</f>
        <v>#N/A</v>
      </c>
      <c r="AW50" s="1" t="e">
        <f>VLOOKUP('Saisie immeuble'!F47,Feuil1!$Q$57:$U$70,5,FALSE)</f>
        <v>#N/A</v>
      </c>
      <c r="AX50" s="97" t="e">
        <f t="shared" si="10"/>
        <v>#N/A</v>
      </c>
    </row>
    <row r="51" spans="2:50" x14ac:dyDescent="0.3">
      <c r="B51" s="52" t="s">
        <v>246</v>
      </c>
      <c r="C51" s="1">
        <f>IF('Saisie immeuble'!D48=Feuil1!$B$4,4,IF(AND('Saisie immeuble'!D48=$B$5,('Saisie immeuble'!$C$4=Feuil1!$C$5)),5,IF(AND('Saisie immeuble'!D48=$B$5,('Saisie immeuble'!$C$4=Feuil1!$C$6)),6,IF(AND('Saisie immeuble'!D48=Feuil1!$B$7,('Saisie immeuble'!$C$4=Feuil1!$C$7)),7,IF(AND('Saisie immeuble'!D48=Feuil1!$B$7,('Saisie immeuble'!$C$4=Feuil1!$C$8)),8,0)))))</f>
        <v>0</v>
      </c>
      <c r="D51" s="90" t="e">
        <f>HLOOKUP('Saisie immeuble'!$C$3,Feuil1!$D$1:$BM$8,Feuil1!C51,FALSE)</f>
        <v>#N/A</v>
      </c>
      <c r="E51" s="1" t="e">
        <f>HLOOKUP('Saisie immeuble'!$C$3,Feuil1!$D$1:$BM$8,3,FALSE)</f>
        <v>#N/A</v>
      </c>
      <c r="F51" s="1" t="e">
        <f>IF(E51=1,450+'Saisie immeuble'!C48*6,IF(E51=2,300+'Saisie immeuble'!C48*5,150+'Saisie immeuble'!C48*3))</f>
        <v>#N/A</v>
      </c>
      <c r="G51" s="1" t="e">
        <f>IF(E51=1,1400+'Saisie immeuble'!C48*6,IF(E51=2,1100+'Saisie immeuble'!C48*6,500+'Saisie immeuble'!C48*6))</f>
        <v>#N/A</v>
      </c>
      <c r="H51" s="90">
        <f>IF('Saisie immeuble'!$C$6="oui",IF('Saisie immeuble'!D48="dernier étage",IF(Feuil1!E51=1,0.4*Feuil1!D51,IF(Feuil1!E51=2,0.35*Feuil1!D51,IF(Feuil1!E51=3,0.3*Feuil1!D51,0))),0),0)</f>
        <v>0</v>
      </c>
      <c r="I51" s="90">
        <f>IF('Saisie immeuble'!$C$7="oui",IF(AND(Feuil1!E51=1,('Saisie immeuble'!$C$4=Feuil1!$C$5)),0.3*Feuil1!D51,IF(AND(Feuil1!E51=1,('Saisie immeuble'!$C$4=Feuil1!$C$6)),0.2*Feuil1!D51,IF(AND(Feuil1!E51=2,('Saisie immeuble'!$C$4=Feuil1!$C$5)),0.25*Feuil1!D51,IF(AND(Feuil1!E51=2,('Saisie immeuble'!$C$4=Feuil1!$C$6)),0.15*Feuil1!D51,IF(AND(Feuil1!E51=3,('Saisie immeuble'!$C$4=Feuil1!$C$5)),0.2*Feuil1!D51,IF(AND(Feuil1!E51=3,('Saisie immeuble'!$C$4=Feuil1!$C$6)),0.12*Feuil1!D51)))))),0)</f>
        <v>0</v>
      </c>
      <c r="J51" s="90">
        <f>IF('Saisie immeuble'!$C$8="oui",IF(AND(Feuil1!E51=1,('Saisie immeuble'!$C$4=Feuil1!$C$5)),0.22*Feuil1!D51,IF(AND(Feuil1!E51=1,('Saisie immeuble'!$C$4=Feuil1!$C$6)),0.14*Feuil1!D51,IF(AND(Feuil1!E51=2,('Saisie immeuble'!$C$4=Feuil1!$C$5)),0.2*Feuil1!D51,IF(AND(Feuil1!E51=2,('Saisie immeuble'!$C$4=Feuil1!$C$6)),0.12*Feuil1!D51,IF(AND(Feuil1!E51=3,('Saisie immeuble'!$C$4=Feuil1!$C$5)),0.16*Feuil1!D51,IF(AND(Feuil1!E51=3,('Saisie immeuble'!$C$4=Feuil1!$C$6)),0.1*Feuil1!D51)))))),0)</f>
        <v>0</v>
      </c>
      <c r="K51" s="90">
        <f>IF('Saisie immeuble'!$F$7="oui",IF('Saisie immeuble'!D48="rez de chaussée",IF(Feuil1!E51=1,0.2*Feuil1!D51,IF(Feuil1!E51=2,0.16*Feuil1!D51,IF(Feuil1!E51=3,0.12*Feuil1!D51,0))),0),0)</f>
        <v>0</v>
      </c>
      <c r="L51" s="1">
        <f>IF('Saisie immeuble'!C48&gt;0,IF('Saisie immeuble'!C48&gt;57,('Saisie immeuble'!C48-57)*55,('Saisie immeuble'!C48-57)*35),0)</f>
        <v>0</v>
      </c>
      <c r="M51" s="1">
        <f>IF('Saisie immeuble'!C48&gt;0,IF('Saisie immeuble'!$H$7=Feuil1!$B$78,IF(Feuil1!E51=1,700,IF(Feuil1!E51=2,550,400)),IF('Saisie immeuble'!$H$7=Feuil1!$B$79,IF(Feuil1!E51=1,350,IF(Feuil1!E51=2,275,200)),0))*(1-((57-'Saisie immeuble'!C48)/100)),0)</f>
        <v>0</v>
      </c>
      <c r="N51" s="90" t="e">
        <f>D51-IF('Saisie immeuble'!G48=Feuil1!$B$68,Feuil1!F51,IF('Saisie immeuble'!G48=Feuil1!$B$69,G51,0))-H51-I51-J51+L51-K51+M51</f>
        <v>#N/A</v>
      </c>
      <c r="O51" s="100" t="e">
        <f t="shared" si="6"/>
        <v>#N/A</v>
      </c>
      <c r="P51" s="90" t="e">
        <f>IF('Saisie immeuble'!$C$5="individuel",N51/AJ51,O51/AJ51)</f>
        <v>#N/A</v>
      </c>
      <c r="Q51" s="99" t="e">
        <f t="shared" si="7"/>
        <v>#N/A</v>
      </c>
      <c r="R51" s="52" t="e">
        <f>VLOOKUP('Saisie immeuble'!E48,Feuil1!$G$58:$I$75,3,0)</f>
        <v>#N/A</v>
      </c>
      <c r="S51" s="1" t="e">
        <f>VLOOKUP('Saisie immeuble'!F48,Feuil1!$Q$57:$U$70,5,FALSE)</f>
        <v>#N/A</v>
      </c>
      <c r="T51" s="1" t="e">
        <f>IF(AND(R51&lt;&gt;"élec",(S51&lt;&gt;"élec"),('Saisie immeuble'!C48&lt;40)),'Référence&amp;tarifs'!$A$6,IF(AND(R51="élec",(S51="élec")),'Référence&amp;tarifs'!$A$8,'Référence&amp;tarifs'!$A$7))</f>
        <v>#N/A</v>
      </c>
      <c r="U51" s="1" t="e">
        <f>VLOOKUP(T51,'Référence&amp;tarifs'!$A$6:$C$10,2,FALSE)</f>
        <v>#N/A</v>
      </c>
      <c r="V51" s="1" t="e">
        <f>VLOOKUP(T51,'Référence&amp;tarifs'!$A$6:$C$10,3,FALSE)</f>
        <v>#N/A</v>
      </c>
      <c r="W51" s="1"/>
      <c r="X51" s="51" t="e">
        <f>IF('Résultat immeuble'!T35&lt;1.1,HLOOKUP(Feuil1!T51,'Référence&amp;tarifs'!#REF!,2,FALSE),IF('Résultat immeuble'!T35&gt;1.9,HLOOKUP(Feuil1!T51,'Référence&amp;tarifs'!#REF!,4,FALSE),HLOOKUP(Feuil1!T51,'Référence&amp;tarifs'!#REF!,3,FALSE)))</f>
        <v>#N/A</v>
      </c>
      <c r="Y51" s="52" t="e">
        <f>IF(R51="gaz",N51,0)+IF(S51="gaz",AT51,0)+IF('Saisie immeuble'!H48="gaz de ville",Feuil1!AH51,0)</f>
        <v>#N/A</v>
      </c>
      <c r="Z51" s="1" t="e">
        <f>IF(Y51&lt;1000,'Référence&amp;tarifs'!$A$16,IF(Y51&gt;5999,'Référence&amp;tarifs'!$A$18,'Référence&amp;tarifs'!$A$17))</f>
        <v>#N/A</v>
      </c>
      <c r="AA51" s="1" t="e">
        <f>VLOOKUP(Z51,'Référence&amp;tarifs'!$A$16:$C$18,2,FALSE)</f>
        <v>#N/A</v>
      </c>
      <c r="AB51" s="1" t="e">
        <f>VLOOKUP(Z51,'Référence&amp;tarifs'!$A$16:$C$18,3,FALSE)</f>
        <v>#N/A</v>
      </c>
      <c r="AC51" s="58" t="b">
        <f>IF('Saisie immeuble'!$C$5="individuel",IF('Résultat immeuble'!T35=1,HLOOKUP(Feuil1!Z51,'Référence&amp;tarifs'!#REF!,2,FALSE),IF('Résultat immeuble'!T35&gt;1.9,HLOOKUP(Feuil1!Z51,'Référence&amp;tarifs'!#REF!,4,FALSE),HLOOKUP(Feuil1!Z51,'Référence&amp;tarifs'!#REF!,3,FALSE))),IF('Saisie immeuble'!$C$5="collectif",IF('Résultat immeuble'!T35=1,'Référence&amp;tarifs'!#REF!,IF('Résultat immeuble'!T35&gt;1.9,'Référence&amp;tarifs'!#REF!,IF(AND('Résultat immeuble'!T35&lt;2,('Résultat immeuble'!T35&gt;1)),'Référence&amp;tarifs'!#REF!,0)))))</f>
        <v>0</v>
      </c>
      <c r="AD51" s="109">
        <f>IF('Saisie immeuble'!I48+'Saisie immeuble'!J48&gt;0,18*'Saisie immeuble'!C48+3.5*('Saisie immeuble'!I48+'Saisie immeuble'!J48-1)*'Saisie immeuble'!C48,0)</f>
        <v>0</v>
      </c>
      <c r="AE51" s="110"/>
      <c r="AF51" s="111"/>
      <c r="AG51" s="97" t="e">
        <f t="shared" si="8"/>
        <v>#N/A</v>
      </c>
      <c r="AH51" s="52">
        <f>IF('Saisie immeuble'!I48+'Saisie immeuble'!J48&gt;0,350+80*('Saisie immeuble'!I48+'Saisie immeuble'!J48-1),0)</f>
        <v>0</v>
      </c>
      <c r="AI51" s="97" t="e">
        <f>IF('Saisie immeuble'!H48="gaz de ville",Feuil1!AB51,IF('Saisie immeuble'!H48=$B$72,V51,0))*Feuil1!AH51+IF(AND(R51&lt;&gt;"gaz",(S51&lt;&gt;"gaz"),('Saisie immeuble'!H48="gaz de ville")),Feuil1!AA51,0)</f>
        <v>#N/A</v>
      </c>
      <c r="AJ51" s="52" t="e">
        <f>VLOOKUP('Saisie immeuble'!E48,Feuil1!$G$58:$I$75,2,FALSE)</f>
        <v>#N/A</v>
      </c>
      <c r="AK51" s="1" t="e">
        <f>VLOOKUP('Saisie immeuble'!E48,Feuil1!$G$58:$I$75,3,FALSE)</f>
        <v>#N/A</v>
      </c>
      <c r="AL51" s="98" t="e">
        <f>IF(AK51="élec",V51,IF(AK51="gaz",AB51,IF(AK51="fioul",'Référence&amp;tarifs'!$B$25,IF(AK51="bois buche",'Référence&amp;tarifs'!$B$23,IF(AK51="bois granulés",'Référence&amp;tarifs'!$B$24,IF(AK51=I95,0.8*('Référence&amp;tarifs'!$B$23+'Référence&amp;tarifs'!B53)/2+0.2*Feuil1!AB51,0))))))</f>
        <v>#N/A</v>
      </c>
      <c r="AM51" s="52">
        <f>IF('Saisie immeuble'!I48+'Saisie immeuble'!J48&gt;0,Feuil1!$AM$13+2*('Saisie immeuble'!I48+'Saisie immeuble'!J48-1),0)</f>
        <v>0</v>
      </c>
      <c r="AN51" s="1">
        <f>IF('Saisie immeuble'!I48+'Saisie immeuble'!J48&gt;0,Feuil1!$AN$13*('Saisie immeuble'!I48+'Saisie immeuble'!J48),0)</f>
        <v>0</v>
      </c>
      <c r="AO51" s="1">
        <f>IF('Saisie immeuble'!I48+'Saisie immeuble'!J48&gt;0,Feuil1!$AO$13+3*('Saisie immeuble'!I48+'Saisie immeuble'!J48-1),0)</f>
        <v>0</v>
      </c>
      <c r="AP51" s="1">
        <f>IF('Saisie immeuble'!I48+'Saisie immeuble'!J48&gt;0,Feuil1!$AP$13+2*('Saisie immeuble'!I48+'Saisie immeuble'!J48-1),0)</f>
        <v>0</v>
      </c>
      <c r="AQ51" s="1">
        <f>IF('Saisie immeuble'!I48+'Saisie immeuble'!J48&gt;0,Feuil1!$AQ$13*('Saisie immeuble'!I48+'Saisie immeuble'!J48),0)</f>
        <v>0</v>
      </c>
      <c r="AR51" s="1">
        <f t="shared" si="9"/>
        <v>0</v>
      </c>
      <c r="AS51" s="99" t="e">
        <f>AR51*'Saisie immeuble'!$F$8+IF(AND(R51&lt;&gt;"gaz",(S51="gaz")),AA51,0)</f>
        <v>#N/A</v>
      </c>
      <c r="AT51" s="52">
        <f>IF('Saisie immeuble'!I48+'Saisie immeuble'!J48&gt;0,1100+700*('Saisie immeuble'!I48+'Saisie immeuble'!J48-1),0)</f>
        <v>0</v>
      </c>
      <c r="AU51" s="3" t="e">
        <f>IF(AW51="élec",Feuil1!V51,IF(AW51="gaz",Feuil1!AB51,IF(AW51="fioul",'Référence&amp;tarifs'!$B$25,IF(AW51="bois",('Référence&amp;tarifs'!$B$23+'Référence&amp;tarifs'!$B$24)/2,0))))</f>
        <v>#N/A</v>
      </c>
      <c r="AV51" s="1" t="e">
        <f>VLOOKUP('Saisie immeuble'!F48,Feuil1!$Q$57:$U$70,4,FALSE)</f>
        <v>#N/A</v>
      </c>
      <c r="AW51" s="1" t="e">
        <f>VLOOKUP('Saisie immeuble'!F48,Feuil1!$Q$57:$U$70,5,FALSE)</f>
        <v>#N/A</v>
      </c>
      <c r="AX51" s="97" t="e">
        <f t="shared" si="10"/>
        <v>#N/A</v>
      </c>
    </row>
    <row r="52" spans="2:50" x14ac:dyDescent="0.3">
      <c r="B52" s="52" t="s">
        <v>247</v>
      </c>
      <c r="C52" s="1">
        <f>IF('Saisie immeuble'!D49=Feuil1!$B$4,4,IF(AND('Saisie immeuble'!D49=$B$5,('Saisie immeuble'!$C$4=Feuil1!$C$5)),5,IF(AND('Saisie immeuble'!D49=$B$5,('Saisie immeuble'!$C$4=Feuil1!$C$6)),6,IF(AND('Saisie immeuble'!D49=Feuil1!$B$7,('Saisie immeuble'!$C$4=Feuil1!$C$7)),7,IF(AND('Saisie immeuble'!D49=Feuil1!$B$7,('Saisie immeuble'!$C$4=Feuil1!$C$8)),8,0)))))</f>
        <v>0</v>
      </c>
      <c r="D52" s="90" t="e">
        <f>HLOOKUP('Saisie immeuble'!$C$3,Feuil1!$D$1:$BM$8,Feuil1!C52,FALSE)</f>
        <v>#N/A</v>
      </c>
      <c r="E52" s="1" t="e">
        <f>HLOOKUP('Saisie immeuble'!$C$3,Feuil1!$D$1:$BM$8,3,FALSE)</f>
        <v>#N/A</v>
      </c>
      <c r="F52" s="1" t="e">
        <f>IF(E52=1,450+'Saisie immeuble'!C49*6,IF(E52=2,300+'Saisie immeuble'!C49*5,150+'Saisie immeuble'!C49*3))</f>
        <v>#N/A</v>
      </c>
      <c r="G52" s="1" t="e">
        <f>IF(E52=1,1400+'Saisie immeuble'!C49*6,IF(E52=2,1100+'Saisie immeuble'!C49*6,500+'Saisie immeuble'!C49*6))</f>
        <v>#N/A</v>
      </c>
      <c r="H52" s="90">
        <f>IF('Saisie immeuble'!$C$6="oui",IF('Saisie immeuble'!D49="dernier étage",IF(Feuil1!E52=1,0.4*Feuil1!D52,IF(Feuil1!E52=2,0.35*Feuil1!D52,IF(Feuil1!E52=3,0.3*Feuil1!D52,0))),0),0)</f>
        <v>0</v>
      </c>
      <c r="I52" s="90">
        <f>IF('Saisie immeuble'!$C$7="oui",IF(AND(Feuil1!E52=1,('Saisie immeuble'!$C$4=Feuil1!$C$5)),0.3*Feuil1!D52,IF(AND(Feuil1!E52=1,('Saisie immeuble'!$C$4=Feuil1!$C$6)),0.2*Feuil1!D52,IF(AND(Feuil1!E52=2,('Saisie immeuble'!$C$4=Feuil1!$C$5)),0.25*Feuil1!D52,IF(AND(Feuil1!E52=2,('Saisie immeuble'!$C$4=Feuil1!$C$6)),0.15*Feuil1!D52,IF(AND(Feuil1!E52=3,('Saisie immeuble'!$C$4=Feuil1!$C$5)),0.2*Feuil1!D52,IF(AND(Feuil1!E52=3,('Saisie immeuble'!$C$4=Feuil1!$C$6)),0.12*Feuil1!D52)))))),0)</f>
        <v>0</v>
      </c>
      <c r="J52" s="90">
        <f>IF('Saisie immeuble'!$C$8="oui",IF(AND(Feuil1!E52=1,('Saisie immeuble'!$C$4=Feuil1!$C$5)),0.22*Feuil1!D52,IF(AND(Feuil1!E52=1,('Saisie immeuble'!$C$4=Feuil1!$C$6)),0.14*Feuil1!D52,IF(AND(Feuil1!E52=2,('Saisie immeuble'!$C$4=Feuil1!$C$5)),0.2*Feuil1!D52,IF(AND(Feuil1!E52=2,('Saisie immeuble'!$C$4=Feuil1!$C$6)),0.12*Feuil1!D52,IF(AND(Feuil1!E52=3,('Saisie immeuble'!$C$4=Feuil1!$C$5)),0.16*Feuil1!D52,IF(AND(Feuil1!E52=3,('Saisie immeuble'!$C$4=Feuil1!$C$6)),0.1*Feuil1!D52)))))),0)</f>
        <v>0</v>
      </c>
      <c r="K52" s="90">
        <f>IF('Saisie immeuble'!$F$7="oui",IF('Saisie immeuble'!D49="rez de chaussée",IF(Feuil1!E52=1,0.2*Feuil1!D52,IF(Feuil1!E52=2,0.16*Feuil1!D52,IF(Feuil1!E52=3,0.12*Feuil1!D52,0))),0),0)</f>
        <v>0</v>
      </c>
      <c r="L52" s="1">
        <f>IF('Saisie immeuble'!C49&gt;0,IF('Saisie immeuble'!C49&gt;57,('Saisie immeuble'!C49-57)*55,('Saisie immeuble'!C49-57)*35),0)</f>
        <v>0</v>
      </c>
      <c r="M52" s="1">
        <f>IF('Saisie immeuble'!C49&gt;0,IF('Saisie immeuble'!$H$7=Feuil1!$B$78,IF(Feuil1!E52=1,700,IF(Feuil1!E52=2,550,400)),IF('Saisie immeuble'!$H$7=Feuil1!$B$79,IF(Feuil1!E52=1,350,IF(Feuil1!E52=2,275,200)),0))*(1-((57-'Saisie immeuble'!C49)/100)),0)</f>
        <v>0</v>
      </c>
      <c r="N52" s="90" t="e">
        <f>D52-IF('Saisie immeuble'!G49=Feuil1!$B$68,Feuil1!F52,IF('Saisie immeuble'!G49=Feuil1!$B$69,G52,0))-H52-I52-J52+L52-K52+M52</f>
        <v>#N/A</v>
      </c>
      <c r="O52" s="100" t="e">
        <f t="shared" si="6"/>
        <v>#N/A</v>
      </c>
      <c r="P52" s="90" t="e">
        <f>IF('Saisie immeuble'!$C$5="individuel",N52/AJ52,O52/AJ52)</f>
        <v>#N/A</v>
      </c>
      <c r="Q52" s="99" t="e">
        <f t="shared" si="7"/>
        <v>#N/A</v>
      </c>
      <c r="R52" s="52" t="e">
        <f>VLOOKUP('Saisie immeuble'!E49,Feuil1!$G$58:$I$75,3,0)</f>
        <v>#N/A</v>
      </c>
      <c r="S52" s="1" t="e">
        <f>VLOOKUP('Saisie immeuble'!F49,Feuil1!$Q$57:$U$70,5,FALSE)</f>
        <v>#N/A</v>
      </c>
      <c r="T52" s="1" t="e">
        <f>IF(AND(R52&lt;&gt;"élec",(S52&lt;&gt;"élec"),('Saisie immeuble'!C49&lt;40)),'Référence&amp;tarifs'!$A$6,IF(AND(R52="élec",(S52="élec")),'Référence&amp;tarifs'!$A$8,'Référence&amp;tarifs'!$A$7))</f>
        <v>#N/A</v>
      </c>
      <c r="U52" s="1" t="e">
        <f>VLOOKUP(T52,'Référence&amp;tarifs'!$A$6:$C$10,2,FALSE)</f>
        <v>#N/A</v>
      </c>
      <c r="V52" s="1" t="e">
        <f>VLOOKUP(T52,'Référence&amp;tarifs'!$A$6:$C$10,3,FALSE)</f>
        <v>#N/A</v>
      </c>
      <c r="W52" s="1"/>
      <c r="X52" s="51" t="e">
        <f>IF('Résultat immeuble'!T36&lt;1.1,HLOOKUP(Feuil1!T52,'Référence&amp;tarifs'!#REF!,2,FALSE),IF('Résultat immeuble'!T36&gt;1.9,HLOOKUP(Feuil1!T52,'Référence&amp;tarifs'!#REF!,4,FALSE),HLOOKUP(Feuil1!T52,'Référence&amp;tarifs'!#REF!,3,FALSE)))</f>
        <v>#N/A</v>
      </c>
      <c r="Y52" s="52" t="e">
        <f>IF(R52="gaz",N52,0)+IF(S52="gaz",AT52,0)+IF('Saisie immeuble'!H49="gaz de ville",Feuil1!AH52,0)</f>
        <v>#N/A</v>
      </c>
      <c r="Z52" s="1" t="e">
        <f>IF(Y52&lt;1000,'Référence&amp;tarifs'!$A$16,IF(Y52&gt;5999,'Référence&amp;tarifs'!$A$18,'Référence&amp;tarifs'!$A$17))</f>
        <v>#N/A</v>
      </c>
      <c r="AA52" s="1" t="e">
        <f>VLOOKUP(Z52,'Référence&amp;tarifs'!$A$16:$C$18,2,FALSE)</f>
        <v>#N/A</v>
      </c>
      <c r="AB52" s="1" t="e">
        <f>VLOOKUP(Z52,'Référence&amp;tarifs'!$A$16:$C$18,3,FALSE)</f>
        <v>#N/A</v>
      </c>
      <c r="AC52" s="58" t="b">
        <f>IF('Saisie immeuble'!$C$5="individuel",IF('Résultat immeuble'!T36=1,HLOOKUP(Feuil1!Z52,'Référence&amp;tarifs'!#REF!,2,FALSE),IF('Résultat immeuble'!T36&gt;1.9,HLOOKUP(Feuil1!Z52,'Référence&amp;tarifs'!#REF!,4,FALSE),HLOOKUP(Feuil1!Z52,'Référence&amp;tarifs'!#REF!,3,FALSE))),IF('Saisie immeuble'!$C$5="collectif",IF('Résultat immeuble'!T36=1,'Référence&amp;tarifs'!#REF!,IF('Résultat immeuble'!T36&gt;1.9,'Référence&amp;tarifs'!#REF!,IF(AND('Résultat immeuble'!T36&lt;2,('Résultat immeuble'!T36&gt;1)),'Référence&amp;tarifs'!#REF!,0)))))</f>
        <v>0</v>
      </c>
      <c r="AD52" s="109">
        <f>IF('Saisie immeuble'!I49+'Saisie immeuble'!J49&gt;0,18*'Saisie immeuble'!C49+3.5*('Saisie immeuble'!I49+'Saisie immeuble'!J49-1)*'Saisie immeuble'!C49,0)</f>
        <v>0</v>
      </c>
      <c r="AE52" s="110"/>
      <c r="AF52" s="111"/>
      <c r="AG52" s="97" t="e">
        <f t="shared" si="8"/>
        <v>#N/A</v>
      </c>
      <c r="AH52" s="52">
        <f>IF('Saisie immeuble'!I49+'Saisie immeuble'!J49&gt;0,350+80*('Saisie immeuble'!I49+'Saisie immeuble'!J49-1),0)</f>
        <v>0</v>
      </c>
      <c r="AI52" s="97" t="e">
        <f>IF('Saisie immeuble'!H49="gaz de ville",Feuil1!AB52,IF('Saisie immeuble'!H49=$B$72,V52,0))*Feuil1!AH52+IF(AND(R52&lt;&gt;"gaz",(S52&lt;&gt;"gaz"),('Saisie immeuble'!H49="gaz de ville")),Feuil1!AA52,0)</f>
        <v>#N/A</v>
      </c>
      <c r="AJ52" s="52" t="e">
        <f>VLOOKUP('Saisie immeuble'!E49,Feuil1!$G$58:$I$75,2,FALSE)</f>
        <v>#N/A</v>
      </c>
      <c r="AK52" s="1" t="e">
        <f>VLOOKUP('Saisie immeuble'!E49,Feuil1!$G$58:$I$75,3,FALSE)</f>
        <v>#N/A</v>
      </c>
      <c r="AL52" s="98" t="e">
        <f>IF(AK52="élec",V52,IF(AK52="gaz",AB52,IF(AK52="fioul",'Référence&amp;tarifs'!$B$25,IF(AK52="bois buche",'Référence&amp;tarifs'!$B$23,IF(AK52="bois granulés",'Référence&amp;tarifs'!$B$24,IF(AK52=I96,0.8*('Référence&amp;tarifs'!$B$23+'Référence&amp;tarifs'!B54)/2+0.2*Feuil1!AB52,0))))))</f>
        <v>#N/A</v>
      </c>
      <c r="AM52" s="52">
        <f>IF('Saisie immeuble'!I49+'Saisie immeuble'!J49&gt;0,Feuil1!$AM$13+2*('Saisie immeuble'!I49+'Saisie immeuble'!J49-1),0)</f>
        <v>0</v>
      </c>
      <c r="AN52" s="1">
        <f>IF('Saisie immeuble'!I49+'Saisie immeuble'!J49&gt;0,Feuil1!$AN$13*('Saisie immeuble'!I49+'Saisie immeuble'!J49),0)</f>
        <v>0</v>
      </c>
      <c r="AO52" s="1">
        <f>IF('Saisie immeuble'!I49+'Saisie immeuble'!J49&gt;0,Feuil1!$AO$13+3*('Saisie immeuble'!I49+'Saisie immeuble'!J49-1),0)</f>
        <v>0</v>
      </c>
      <c r="AP52" s="1">
        <f>IF('Saisie immeuble'!I49+'Saisie immeuble'!J49&gt;0,Feuil1!$AP$13+2*('Saisie immeuble'!I49+'Saisie immeuble'!J49-1),0)</f>
        <v>0</v>
      </c>
      <c r="AQ52" s="1">
        <f>IF('Saisie immeuble'!I49+'Saisie immeuble'!J49&gt;0,Feuil1!$AQ$13*('Saisie immeuble'!I49+'Saisie immeuble'!J49),0)</f>
        <v>0</v>
      </c>
      <c r="AR52" s="1">
        <f t="shared" si="9"/>
        <v>0</v>
      </c>
      <c r="AS52" s="99" t="e">
        <f>AR52*'Saisie immeuble'!$F$8+IF(AND(R52&lt;&gt;"gaz",(S52="gaz")),AA52,0)</f>
        <v>#N/A</v>
      </c>
      <c r="AT52" s="52">
        <f>IF('Saisie immeuble'!I49+'Saisie immeuble'!J49&gt;0,1100+700*('Saisie immeuble'!I49+'Saisie immeuble'!J49-1),0)</f>
        <v>0</v>
      </c>
      <c r="AU52" s="3" t="e">
        <f>IF(AW52="élec",Feuil1!V52,IF(AW52="gaz",Feuil1!AB52,IF(AW52="fioul",'Référence&amp;tarifs'!$B$25,IF(AW52="bois",('Référence&amp;tarifs'!$B$23+'Référence&amp;tarifs'!$B$24)/2,0))))</f>
        <v>#N/A</v>
      </c>
      <c r="AV52" s="1" t="e">
        <f>VLOOKUP('Saisie immeuble'!F49,Feuil1!$Q$57:$U$70,4,FALSE)</f>
        <v>#N/A</v>
      </c>
      <c r="AW52" s="1" t="e">
        <f>VLOOKUP('Saisie immeuble'!F49,Feuil1!$Q$57:$U$70,5,FALSE)</f>
        <v>#N/A</v>
      </c>
      <c r="AX52" s="97" t="e">
        <f t="shared" si="10"/>
        <v>#N/A</v>
      </c>
    </row>
    <row r="53" spans="2:50" ht="15" thickBot="1" x14ac:dyDescent="0.35">
      <c r="B53" s="65" t="s">
        <v>248</v>
      </c>
      <c r="C53" s="1">
        <f>IF('Saisie immeuble'!D50=Feuil1!$B$4,4,IF(AND('Saisie immeuble'!D50=$B$5,('Saisie immeuble'!$C$4=Feuil1!$C$5)),5,IF(AND('Saisie immeuble'!D50=$B$5,('Saisie immeuble'!$C$4=Feuil1!$C$6)),6,IF(AND('Saisie immeuble'!D50=Feuil1!$B$7,('Saisie immeuble'!$C$4=Feuil1!$C$7)),7,IF(AND('Saisie immeuble'!D50=Feuil1!$B$7,('Saisie immeuble'!$C$4=Feuil1!$C$8)),8,0)))))</f>
        <v>0</v>
      </c>
      <c r="D53" s="90" t="e">
        <f>HLOOKUP('Saisie immeuble'!$C$3,Feuil1!$D$1:$BM$8,Feuil1!C53,FALSE)</f>
        <v>#N/A</v>
      </c>
      <c r="E53" s="1" t="e">
        <f>HLOOKUP('Saisie immeuble'!$C$3,Feuil1!$D$1:$BM$8,3,FALSE)</f>
        <v>#N/A</v>
      </c>
      <c r="F53" s="1" t="e">
        <f>IF(E53=1,450+'Saisie immeuble'!C50*6,IF(E53=2,300+'Saisie immeuble'!C50*5,150+'Saisie immeuble'!C50*3))</f>
        <v>#N/A</v>
      </c>
      <c r="G53" s="1" t="e">
        <f>IF(E53=1,1400+'Saisie immeuble'!C50*6,IF(E53=2,1100+'Saisie immeuble'!C50*6,500+'Saisie immeuble'!C50*6))</f>
        <v>#N/A</v>
      </c>
      <c r="H53" s="90">
        <f>IF('Saisie immeuble'!$C$6="oui",IF('Saisie immeuble'!D50="dernier étage",IF(Feuil1!E53=1,0.4*Feuil1!D53,IF(Feuil1!E53=2,0.35*Feuil1!D53,IF(Feuil1!E53=3,0.3*Feuil1!D53,0))),0),0)</f>
        <v>0</v>
      </c>
      <c r="I53" s="90">
        <f>IF('Saisie immeuble'!$C$7="oui",IF(AND(Feuil1!E53=1,('Saisie immeuble'!$C$4=Feuil1!$C$5)),0.3*Feuil1!D53,IF(AND(Feuil1!E53=1,('Saisie immeuble'!$C$4=Feuil1!$C$6)),0.2*Feuil1!D53,IF(AND(Feuil1!E53=2,('Saisie immeuble'!$C$4=Feuil1!$C$5)),0.25*Feuil1!D53,IF(AND(Feuil1!E53=2,('Saisie immeuble'!$C$4=Feuil1!$C$6)),0.15*Feuil1!D53,IF(AND(Feuil1!E53=3,('Saisie immeuble'!$C$4=Feuil1!$C$5)),0.2*Feuil1!D53,IF(AND(Feuil1!E53=3,('Saisie immeuble'!$C$4=Feuil1!$C$6)),0.12*Feuil1!D53)))))),0)</f>
        <v>0</v>
      </c>
      <c r="J53" s="90">
        <f>IF('Saisie immeuble'!$C$8="oui",IF(AND(Feuil1!E53=1,('Saisie immeuble'!$C$4=Feuil1!$C$5)),0.22*Feuil1!D53,IF(AND(Feuil1!E53=1,('Saisie immeuble'!$C$4=Feuil1!$C$6)),0.14*Feuil1!D53,IF(AND(Feuil1!E53=2,('Saisie immeuble'!$C$4=Feuil1!$C$5)),0.2*Feuil1!D53,IF(AND(Feuil1!E53=2,('Saisie immeuble'!$C$4=Feuil1!$C$6)),0.12*Feuil1!D53,IF(AND(Feuil1!E53=3,('Saisie immeuble'!$C$4=Feuil1!$C$5)),0.16*Feuil1!D53,IF(AND(Feuil1!E53=3,('Saisie immeuble'!$C$4=Feuil1!$C$6)),0.1*Feuil1!D53)))))),0)</f>
        <v>0</v>
      </c>
      <c r="K53" s="90">
        <f>IF('Saisie immeuble'!$F$7="oui",IF('Saisie immeuble'!D50="rez de chaussée",IF(Feuil1!E53=1,0.2*Feuil1!D53,IF(Feuil1!E53=2,0.16*Feuil1!D53,IF(Feuil1!E53=3,0.12*Feuil1!D53,0))),0),0)</f>
        <v>0</v>
      </c>
      <c r="L53" s="1">
        <f>IF('Saisie immeuble'!C50&gt;0,IF('Saisie immeuble'!C50&gt;57,('Saisie immeuble'!C50-57)*55,('Saisie immeuble'!C50-57)*35),0)</f>
        <v>0</v>
      </c>
      <c r="M53" s="1">
        <f>IF('Saisie immeuble'!C50&gt;0,IF('Saisie immeuble'!$H$7=Feuil1!$B$78,IF(Feuil1!E53=1,700,IF(Feuil1!E53=2,550,400)),IF('Saisie immeuble'!$H$7=Feuil1!$B$79,IF(Feuil1!E53=1,350,IF(Feuil1!E53=2,275,200)),0))*(1-((57-'Saisie immeuble'!C50)/100)),0)</f>
        <v>0</v>
      </c>
      <c r="N53" s="90" t="e">
        <f>D53-IF('Saisie immeuble'!G50=Feuil1!$B$68,Feuil1!F53,IF('Saisie immeuble'!G50=Feuil1!$B$69,G53,0))-H53-I53-J53+L53-K53+M53</f>
        <v>#N/A</v>
      </c>
      <c r="O53" s="100" t="e">
        <f t="shared" si="6"/>
        <v>#N/A</v>
      </c>
      <c r="P53" s="90" t="e">
        <f>IF('Saisie immeuble'!$C$5="individuel",N53/AJ53,O53/AJ53)</f>
        <v>#N/A</v>
      </c>
      <c r="Q53" s="99" t="e">
        <f t="shared" si="7"/>
        <v>#N/A</v>
      </c>
      <c r="R53" s="52" t="e">
        <f>VLOOKUP('Saisie immeuble'!E50,Feuil1!$G$58:$I$75,3,0)</f>
        <v>#N/A</v>
      </c>
      <c r="S53" s="1" t="e">
        <f>VLOOKUP('Saisie immeuble'!F50,Feuil1!$Q$57:$U$70,5,FALSE)</f>
        <v>#N/A</v>
      </c>
      <c r="T53" s="1" t="e">
        <f>IF(AND(R53&lt;&gt;"élec",(S53&lt;&gt;"élec"),('Saisie immeuble'!C50&lt;40)),'Référence&amp;tarifs'!$A$6,IF(AND(R53="élec",(S53="élec")),'Référence&amp;tarifs'!$A$8,'Référence&amp;tarifs'!$A$7))</f>
        <v>#N/A</v>
      </c>
      <c r="U53" s="1" t="e">
        <f>VLOOKUP(T53,'Référence&amp;tarifs'!$A$6:$C$10,2,FALSE)</f>
        <v>#N/A</v>
      </c>
      <c r="V53" s="1" t="e">
        <f>VLOOKUP(T53,'Référence&amp;tarifs'!$A$6:$C$10,3,FALSE)</f>
        <v>#N/A</v>
      </c>
      <c r="W53" s="66"/>
      <c r="X53" s="51" t="e">
        <f>IF('Résultat immeuble'!T37&lt;1.1,HLOOKUP(Feuil1!T53,'Référence&amp;tarifs'!#REF!,2,FALSE),IF('Résultat immeuble'!T37&gt;1.9,HLOOKUP(Feuil1!T53,'Référence&amp;tarifs'!#REF!,4,FALSE),HLOOKUP(Feuil1!T53,'Référence&amp;tarifs'!#REF!,3,FALSE)))</f>
        <v>#N/A</v>
      </c>
      <c r="Y53" s="52" t="e">
        <f>IF(R53="gaz",N53,0)+IF(S53="gaz",AT53,0)+IF('Saisie immeuble'!H50="gaz de ville",Feuil1!AH53,0)</f>
        <v>#N/A</v>
      </c>
      <c r="Z53" s="1" t="e">
        <f>IF(Y53&lt;1000,'Référence&amp;tarifs'!$A$16,IF(Y53&gt;5999,'Référence&amp;tarifs'!$A$18,'Référence&amp;tarifs'!$A$17))</f>
        <v>#N/A</v>
      </c>
      <c r="AA53" s="1" t="e">
        <f>VLOOKUP(Z53,'Référence&amp;tarifs'!$A$16:$C$18,2,FALSE)</f>
        <v>#N/A</v>
      </c>
      <c r="AB53" s="1" t="e">
        <f>VLOOKUP(Z53,'Référence&amp;tarifs'!$A$16:$C$18,3,FALSE)</f>
        <v>#N/A</v>
      </c>
      <c r="AC53" s="58" t="b">
        <f>IF('Saisie immeuble'!$C$5="individuel",IF('Résultat immeuble'!T37=1,HLOOKUP(Feuil1!Z53,'Référence&amp;tarifs'!#REF!,2,FALSE),IF('Résultat immeuble'!T37&gt;1.9,HLOOKUP(Feuil1!Z53,'Référence&amp;tarifs'!#REF!,4,FALSE),HLOOKUP(Feuil1!Z53,'Référence&amp;tarifs'!#REF!,3,FALSE))),IF('Saisie immeuble'!$C$5="collectif",IF('Résultat immeuble'!T37=1,'Référence&amp;tarifs'!#REF!,IF('Résultat immeuble'!T37&gt;1.9,'Référence&amp;tarifs'!#REF!,IF(AND('Résultat immeuble'!T37&lt;2,('Résultat immeuble'!T37&gt;1)),'Référence&amp;tarifs'!#REF!,0)))))</f>
        <v>0</v>
      </c>
      <c r="AD53" s="109">
        <f>IF('Saisie immeuble'!I50+'Saisie immeuble'!J50&gt;0,18*'Saisie immeuble'!C50+3.5*('Saisie immeuble'!I50+'Saisie immeuble'!J50-1)*'Saisie immeuble'!C50,0)</f>
        <v>0</v>
      </c>
      <c r="AE53" s="110"/>
      <c r="AF53" s="111"/>
      <c r="AG53" s="97" t="e">
        <f t="shared" si="8"/>
        <v>#N/A</v>
      </c>
      <c r="AH53" s="52">
        <f>IF('Saisie immeuble'!I50+'Saisie immeuble'!J50&gt;0,350+80*('Saisie immeuble'!I50+'Saisie immeuble'!J50-1),0)</f>
        <v>0</v>
      </c>
      <c r="AI53" s="97" t="e">
        <f>IF('Saisie immeuble'!H50="gaz de ville",Feuil1!AB53,IF('Saisie immeuble'!H50=$B$72,V53,0))*Feuil1!AH53+IF(AND(R53&lt;&gt;"gaz",(S53&lt;&gt;"gaz"),('Saisie immeuble'!H50="gaz de ville")),Feuil1!AA53,0)</f>
        <v>#N/A</v>
      </c>
      <c r="AJ53" s="52" t="e">
        <f>VLOOKUP('Saisie immeuble'!E50,Feuil1!$G$58:$I$75,2,FALSE)</f>
        <v>#N/A</v>
      </c>
      <c r="AK53" s="1" t="e">
        <f>VLOOKUP('Saisie immeuble'!E50,Feuil1!$G$58:$I$75,3,FALSE)</f>
        <v>#N/A</v>
      </c>
      <c r="AL53" s="98" t="e">
        <f>IF(AK53="élec",V53,IF(AK53="gaz",AB53,IF(AK53="fioul",'Référence&amp;tarifs'!$B$25,IF(AK53="bois buche",'Référence&amp;tarifs'!$B$23,IF(AK53="bois granulés",'Référence&amp;tarifs'!$B$24,IF(AK53=I97,0.8*('Référence&amp;tarifs'!$B$23+'Référence&amp;tarifs'!B55)/2+0.2*Feuil1!AB53,0))))))</f>
        <v>#N/A</v>
      </c>
      <c r="AM53" s="52">
        <f>IF('Saisie immeuble'!I50+'Saisie immeuble'!J50&gt;0,Feuil1!$AM$13+2*('Saisie immeuble'!I50+'Saisie immeuble'!J50-1),0)</f>
        <v>0</v>
      </c>
      <c r="AN53" s="1">
        <f>IF('Saisie immeuble'!I50+'Saisie immeuble'!J50&gt;0,Feuil1!$AN$13*('Saisie immeuble'!I50+'Saisie immeuble'!J50),0)</f>
        <v>0</v>
      </c>
      <c r="AO53" s="1">
        <f>IF('Saisie immeuble'!I50+'Saisie immeuble'!J50&gt;0,Feuil1!$AO$13+3*('Saisie immeuble'!I50+'Saisie immeuble'!J50-1),0)</f>
        <v>0</v>
      </c>
      <c r="AP53" s="1">
        <f>IF('Saisie immeuble'!I50+'Saisie immeuble'!J50&gt;0,Feuil1!$AP$13+2*('Saisie immeuble'!I50+'Saisie immeuble'!J50-1),0)</f>
        <v>0</v>
      </c>
      <c r="AQ53" s="1">
        <f>IF('Saisie immeuble'!I50+'Saisie immeuble'!J50&gt;0,Feuil1!$AQ$13*('Saisie immeuble'!I50+'Saisie immeuble'!J50),0)</f>
        <v>0</v>
      </c>
      <c r="AR53" s="1">
        <f t="shared" si="9"/>
        <v>0</v>
      </c>
      <c r="AS53" s="99" t="e">
        <f>AR53*'Saisie immeuble'!$F$8+IF(AND(R53&lt;&gt;"gaz",(S53="gaz")),AA53,0)</f>
        <v>#N/A</v>
      </c>
      <c r="AT53" s="52">
        <f>IF('Saisie immeuble'!I50+'Saisie immeuble'!J50&gt;0,1100+700*('Saisie immeuble'!I50+'Saisie immeuble'!J50-1),0)</f>
        <v>0</v>
      </c>
      <c r="AU53" s="3" t="e">
        <f>IF(AW53="élec",Feuil1!V53,IF(AW53="gaz",Feuil1!AB53,IF(AW53="fioul",'Référence&amp;tarifs'!$B$25,IF(AW53="bois",('Référence&amp;tarifs'!$B$23+'Référence&amp;tarifs'!$B$24)/2,0))))</f>
        <v>#N/A</v>
      </c>
      <c r="AV53" s="1" t="e">
        <f>VLOOKUP('Saisie immeuble'!F50,Feuil1!$Q$57:$U$70,4,FALSE)</f>
        <v>#N/A</v>
      </c>
      <c r="AW53" s="1" t="e">
        <f>VLOOKUP('Saisie immeuble'!F50,Feuil1!$Q$57:$U$70,5,FALSE)</f>
        <v>#N/A</v>
      </c>
      <c r="AX53" s="97" t="e">
        <f t="shared" si="10"/>
        <v>#N/A</v>
      </c>
    </row>
    <row r="54" spans="2:50" ht="15" thickTop="1" x14ac:dyDescent="0.3"/>
    <row r="56" spans="2:50" x14ac:dyDescent="0.3">
      <c r="T56" s="42" t="s">
        <v>61</v>
      </c>
      <c r="U56" s="42" t="s">
        <v>210</v>
      </c>
    </row>
    <row r="57" spans="2:50" x14ac:dyDescent="0.3">
      <c r="B57" s="5" t="s">
        <v>196</v>
      </c>
      <c r="D57" s="5" t="s">
        <v>221</v>
      </c>
      <c r="G57" s="87" t="s">
        <v>73</v>
      </c>
      <c r="H57" s="366" t="s">
        <v>74</v>
      </c>
      <c r="I57" s="366"/>
      <c r="J57" s="9"/>
      <c r="K57" s="91"/>
      <c r="L57" s="401"/>
      <c r="M57" s="401"/>
      <c r="N57" s="9"/>
      <c r="P57" s="402" t="s">
        <v>62</v>
      </c>
      <c r="Q57" s="93" t="s">
        <v>181</v>
      </c>
      <c r="R57" s="94"/>
      <c r="S57" s="95"/>
      <c r="T57" s="8">
        <v>2</v>
      </c>
      <c r="U57" s="8" t="s">
        <v>267</v>
      </c>
    </row>
    <row r="58" spans="2:50" x14ac:dyDescent="0.3">
      <c r="B58" s="5" t="s">
        <v>197</v>
      </c>
      <c r="D58" s="5" t="s">
        <v>222</v>
      </c>
      <c r="G58" s="88" t="s">
        <v>75</v>
      </c>
      <c r="H58" s="87">
        <v>0.8</v>
      </c>
      <c r="I58" s="8" t="s">
        <v>172</v>
      </c>
      <c r="J58" s="4"/>
      <c r="K58" s="92"/>
      <c r="L58" s="401"/>
      <c r="M58" s="401"/>
      <c r="N58" s="9"/>
      <c r="P58" s="403"/>
      <c r="Q58" s="93" t="s">
        <v>63</v>
      </c>
      <c r="R58" s="94"/>
      <c r="S58" s="95"/>
      <c r="T58" s="8">
        <f>1/0.45</f>
        <v>2.2222222222222223</v>
      </c>
      <c r="U58" s="8" t="s">
        <v>268</v>
      </c>
    </row>
    <row r="59" spans="2:50" ht="15" customHeight="1" x14ac:dyDescent="0.3">
      <c r="B59" s="5"/>
      <c r="D59" s="5" t="s">
        <v>223</v>
      </c>
      <c r="G59" s="88" t="s">
        <v>76</v>
      </c>
      <c r="H59" s="87">
        <v>0.85</v>
      </c>
      <c r="I59" s="8" t="s">
        <v>173</v>
      </c>
      <c r="J59" s="4"/>
      <c r="K59" s="92"/>
      <c r="L59" s="401"/>
      <c r="M59" s="401"/>
      <c r="N59" s="9"/>
      <c r="P59" s="403"/>
      <c r="Q59" s="93" t="s">
        <v>64</v>
      </c>
      <c r="R59" s="94"/>
      <c r="S59" s="95"/>
      <c r="T59" s="8">
        <f>1/0.45</f>
        <v>2.2222222222222223</v>
      </c>
      <c r="U59" s="8" t="s">
        <v>267</v>
      </c>
    </row>
    <row r="60" spans="2:50" ht="15" customHeight="1" x14ac:dyDescent="0.3">
      <c r="B60" s="28" t="s">
        <v>92</v>
      </c>
      <c r="D60" s="5" t="s">
        <v>224</v>
      </c>
      <c r="G60" s="88" t="s">
        <v>77</v>
      </c>
      <c r="H60" s="87">
        <v>0.8</v>
      </c>
      <c r="I60" s="8" t="s">
        <v>67</v>
      </c>
      <c r="J60" s="4"/>
      <c r="K60" s="92"/>
      <c r="L60" s="401"/>
      <c r="M60" s="401"/>
      <c r="N60" s="9"/>
      <c r="P60" s="403"/>
      <c r="Q60" s="93" t="s">
        <v>65</v>
      </c>
      <c r="R60" s="94"/>
      <c r="S60" s="95"/>
      <c r="T60" s="8">
        <f>1/0.45</f>
        <v>2.2222222222222223</v>
      </c>
      <c r="U60" s="8" t="s">
        <v>67</v>
      </c>
    </row>
    <row r="61" spans="2:50" ht="15" customHeight="1" x14ac:dyDescent="0.3">
      <c r="B61" s="28" t="s">
        <v>93</v>
      </c>
      <c r="D61" s="5" t="s">
        <v>225</v>
      </c>
      <c r="G61" s="88" t="s">
        <v>271</v>
      </c>
      <c r="H61" s="87">
        <v>0.85</v>
      </c>
      <c r="I61" s="8" t="s">
        <v>67</v>
      </c>
      <c r="J61" s="4"/>
      <c r="K61" s="92"/>
      <c r="L61" s="401"/>
      <c r="M61" s="401"/>
      <c r="N61" s="9"/>
      <c r="P61" s="403"/>
      <c r="Q61" s="93" t="s">
        <v>66</v>
      </c>
      <c r="R61" s="94"/>
      <c r="S61" s="95"/>
      <c r="T61" s="8">
        <f>1/0.45</f>
        <v>2.2222222222222223</v>
      </c>
      <c r="U61" s="8" t="s">
        <v>208</v>
      </c>
    </row>
    <row r="62" spans="2:50" ht="15" customHeight="1" x14ac:dyDescent="0.3">
      <c r="B62" s="5"/>
      <c r="G62" s="88" t="s">
        <v>272</v>
      </c>
      <c r="H62" s="87">
        <v>0.7</v>
      </c>
      <c r="I62" s="8" t="s">
        <v>67</v>
      </c>
      <c r="J62" s="4"/>
      <c r="K62" s="92"/>
      <c r="L62" s="262"/>
      <c r="M62" s="262"/>
      <c r="N62" s="9"/>
      <c r="P62" s="403"/>
      <c r="Q62" s="18" t="s">
        <v>323</v>
      </c>
      <c r="R62" s="94"/>
      <c r="S62" s="95"/>
      <c r="T62" s="8">
        <v>0.6</v>
      </c>
      <c r="U62" s="8" t="s">
        <v>267</v>
      </c>
    </row>
    <row r="63" spans="2:50" ht="15" customHeight="1" x14ac:dyDescent="0.3">
      <c r="B63" s="5" t="s">
        <v>179</v>
      </c>
      <c r="G63" s="88" t="s">
        <v>78</v>
      </c>
      <c r="H63" s="87">
        <v>0.8</v>
      </c>
      <c r="I63" s="8" t="s">
        <v>208</v>
      </c>
      <c r="J63" s="4"/>
      <c r="K63" s="92"/>
      <c r="L63" s="262"/>
      <c r="M63" s="262"/>
      <c r="N63" s="9"/>
      <c r="P63" s="403"/>
      <c r="Q63" s="8" t="s">
        <v>324</v>
      </c>
      <c r="R63" s="94"/>
      <c r="S63" s="95"/>
      <c r="T63" s="8">
        <v>0.67</v>
      </c>
      <c r="U63" s="8" t="s">
        <v>267</v>
      </c>
    </row>
    <row r="64" spans="2:50" x14ac:dyDescent="0.3">
      <c r="B64" s="5" t="s">
        <v>180</v>
      </c>
      <c r="G64" s="88" t="s">
        <v>176</v>
      </c>
      <c r="H64" s="87">
        <v>0.9</v>
      </c>
      <c r="I64" s="8" t="s">
        <v>208</v>
      </c>
      <c r="J64" s="4"/>
      <c r="K64" s="92"/>
      <c r="L64" s="401"/>
      <c r="M64" s="401"/>
      <c r="N64" s="9"/>
      <c r="P64" s="403"/>
      <c r="Q64" s="8" t="s">
        <v>325</v>
      </c>
      <c r="R64" s="94"/>
      <c r="S64" s="95"/>
      <c r="T64" s="8">
        <v>0.72</v>
      </c>
      <c r="U64" s="8" t="s">
        <v>267</v>
      </c>
    </row>
    <row r="65" spans="2:21" x14ac:dyDescent="0.3">
      <c r="B65" s="5"/>
      <c r="G65" s="88" t="s">
        <v>175</v>
      </c>
      <c r="H65" s="87">
        <v>0.72</v>
      </c>
      <c r="I65" s="8" t="s">
        <v>208</v>
      </c>
      <c r="J65" s="4"/>
      <c r="K65" s="92"/>
      <c r="L65" s="401"/>
      <c r="M65" s="401"/>
      <c r="N65" s="9"/>
      <c r="P65" s="403"/>
      <c r="Q65" s="93" t="s">
        <v>67</v>
      </c>
      <c r="R65" s="94"/>
      <c r="S65" s="95"/>
      <c r="T65" s="8">
        <v>0.8</v>
      </c>
      <c r="U65" s="8" t="s">
        <v>67</v>
      </c>
    </row>
    <row r="66" spans="2:21" x14ac:dyDescent="0.3">
      <c r="B66" s="5"/>
      <c r="G66" s="88" t="s">
        <v>79</v>
      </c>
      <c r="H66" s="87">
        <v>0.8</v>
      </c>
      <c r="I66" s="8" t="s">
        <v>273</v>
      </c>
      <c r="J66" s="4"/>
      <c r="K66" s="92"/>
      <c r="L66" s="401"/>
      <c r="M66" s="401"/>
      <c r="N66" s="9"/>
      <c r="P66" s="403"/>
      <c r="Q66" s="93" t="s">
        <v>68</v>
      </c>
      <c r="R66" s="94"/>
      <c r="S66" s="95"/>
      <c r="T66" s="8">
        <v>0.8</v>
      </c>
      <c r="U66" s="8" t="s">
        <v>208</v>
      </c>
    </row>
    <row r="67" spans="2:21" x14ac:dyDescent="0.3">
      <c r="B67" s="5" t="s">
        <v>182</v>
      </c>
      <c r="G67" s="88" t="s">
        <v>80</v>
      </c>
      <c r="H67" s="87">
        <v>1.5</v>
      </c>
      <c r="I67" s="8" t="s">
        <v>267</v>
      </c>
      <c r="J67" s="4"/>
      <c r="K67" s="92"/>
      <c r="L67" s="401"/>
      <c r="M67" s="401"/>
      <c r="N67" s="9"/>
      <c r="P67" s="403"/>
      <c r="Q67" s="93" t="s">
        <v>69</v>
      </c>
      <c r="R67" s="94"/>
      <c r="S67" s="95"/>
      <c r="T67" s="8">
        <f>1/0.35</f>
        <v>2.8571428571428572</v>
      </c>
      <c r="U67" s="8" t="s">
        <v>268</v>
      </c>
    </row>
    <row r="68" spans="2:21" x14ac:dyDescent="0.3">
      <c r="B68" s="5" t="s">
        <v>183</v>
      </c>
      <c r="G68" s="88" t="s">
        <v>81</v>
      </c>
      <c r="H68" s="87">
        <v>2.1</v>
      </c>
      <c r="I68" s="8" t="s">
        <v>267</v>
      </c>
      <c r="J68" s="4"/>
      <c r="K68" s="92"/>
      <c r="L68" s="401"/>
      <c r="M68" s="401"/>
      <c r="N68" s="9"/>
      <c r="P68" s="403"/>
      <c r="Q68" s="93" t="s">
        <v>70</v>
      </c>
      <c r="R68" s="94"/>
      <c r="S68" s="95"/>
      <c r="T68" s="8">
        <f>1/0.35</f>
        <v>2.8571428571428572</v>
      </c>
      <c r="U68" s="8" t="s">
        <v>267</v>
      </c>
    </row>
    <row r="69" spans="2:21" x14ac:dyDescent="0.3">
      <c r="B69" s="5" t="s">
        <v>184</v>
      </c>
      <c r="G69" s="88" t="s">
        <v>82</v>
      </c>
      <c r="H69" s="87">
        <v>2</v>
      </c>
      <c r="I69" s="8" t="s">
        <v>267</v>
      </c>
      <c r="J69" s="4"/>
      <c r="K69" s="92"/>
      <c r="L69" s="401"/>
      <c r="M69" s="401"/>
      <c r="N69" s="9"/>
      <c r="P69" s="403"/>
      <c r="Q69" s="93" t="s">
        <v>71</v>
      </c>
      <c r="R69" s="94"/>
      <c r="S69" s="95"/>
      <c r="T69" s="8">
        <f>1/0.35</f>
        <v>2.8571428571428572</v>
      </c>
      <c r="U69" s="8" t="s">
        <v>67</v>
      </c>
    </row>
    <row r="70" spans="2:21" x14ac:dyDescent="0.3">
      <c r="B70" s="5"/>
      <c r="G70" s="88" t="s">
        <v>83</v>
      </c>
      <c r="H70" s="87">
        <v>1.6</v>
      </c>
      <c r="I70" s="8" t="s">
        <v>267</v>
      </c>
      <c r="J70" s="4"/>
      <c r="K70" s="92"/>
      <c r="L70" s="401"/>
      <c r="M70" s="401"/>
      <c r="N70" s="9"/>
      <c r="P70" s="404"/>
      <c r="Q70" s="93" t="s">
        <v>72</v>
      </c>
      <c r="R70" s="94"/>
      <c r="S70" s="95"/>
      <c r="T70" s="8">
        <f>1/0.35</f>
        <v>2.8571428571428572</v>
      </c>
      <c r="U70" s="8" t="s">
        <v>208</v>
      </c>
    </row>
    <row r="71" spans="2:21" x14ac:dyDescent="0.3">
      <c r="B71" s="5" t="s">
        <v>185</v>
      </c>
      <c r="G71" s="88" t="s">
        <v>84</v>
      </c>
      <c r="H71" s="87">
        <v>0.95</v>
      </c>
      <c r="I71" s="8" t="s">
        <v>267</v>
      </c>
      <c r="J71" s="4"/>
      <c r="K71" s="92"/>
      <c r="L71" s="401"/>
      <c r="M71" s="401"/>
      <c r="N71" s="9"/>
    </row>
    <row r="72" spans="2:21" x14ac:dyDescent="0.3">
      <c r="B72" s="5" t="s">
        <v>266</v>
      </c>
      <c r="G72" s="88" t="s">
        <v>85</v>
      </c>
      <c r="H72" s="87">
        <v>0.85</v>
      </c>
      <c r="I72" s="8" t="s">
        <v>172</v>
      </c>
      <c r="J72" s="4"/>
      <c r="K72" s="92"/>
      <c r="L72" s="401"/>
      <c r="M72" s="401"/>
      <c r="N72" s="9"/>
    </row>
    <row r="73" spans="2:21" x14ac:dyDescent="0.3">
      <c r="D73" t="s">
        <v>265</v>
      </c>
      <c r="G73" s="88" t="s">
        <v>86</v>
      </c>
      <c r="H73" s="87">
        <v>0.9</v>
      </c>
      <c r="I73" s="8" t="s">
        <v>173</v>
      </c>
      <c r="J73" s="4"/>
      <c r="K73" s="92"/>
      <c r="L73" s="401"/>
      <c r="M73" s="401"/>
      <c r="N73" s="9"/>
    </row>
    <row r="74" spans="2:21" x14ac:dyDescent="0.3">
      <c r="D74" t="s">
        <v>155</v>
      </c>
      <c r="G74" s="88" t="s">
        <v>87</v>
      </c>
      <c r="H74" s="87">
        <v>0.9</v>
      </c>
      <c r="I74" s="8" t="s">
        <v>267</v>
      </c>
      <c r="J74" s="4"/>
      <c r="K74" s="92"/>
      <c r="L74" s="401"/>
      <c r="M74" s="401"/>
      <c r="N74" s="9"/>
    </row>
    <row r="75" spans="2:21" x14ac:dyDescent="0.3">
      <c r="B75" s="5" t="s">
        <v>263</v>
      </c>
      <c r="D75" t="s">
        <v>156</v>
      </c>
      <c r="G75" s="88" t="s">
        <v>88</v>
      </c>
      <c r="H75" s="87">
        <v>0.9</v>
      </c>
      <c r="I75" s="8" t="s">
        <v>267</v>
      </c>
      <c r="J75" s="4"/>
      <c r="K75" s="92"/>
      <c r="L75" s="401"/>
      <c r="M75" s="401"/>
      <c r="N75" s="9"/>
    </row>
    <row r="76" spans="2:21" x14ac:dyDescent="0.3">
      <c r="B76" s="5" t="s">
        <v>264</v>
      </c>
      <c r="G76" s="5"/>
      <c r="H76" s="5"/>
      <c r="I76" s="5"/>
      <c r="J76" s="4"/>
      <c r="K76" s="92"/>
      <c r="L76" s="401"/>
      <c r="M76" s="401"/>
      <c r="N76" s="9"/>
    </row>
    <row r="77" spans="2:21" x14ac:dyDescent="0.3">
      <c r="G77" s="5"/>
      <c r="H77" s="5"/>
      <c r="I77" s="5"/>
      <c r="J77" s="4"/>
      <c r="K77" s="92"/>
      <c r="L77" s="401"/>
      <c r="M77" s="401"/>
      <c r="N77" s="9"/>
    </row>
    <row r="78" spans="2:21" x14ac:dyDescent="0.3">
      <c r="B78" s="9" t="s">
        <v>327</v>
      </c>
      <c r="G78" s="5"/>
      <c r="H78" s="5"/>
      <c r="I78" s="5"/>
      <c r="J78" s="9"/>
      <c r="K78" s="9"/>
      <c r="L78" s="62"/>
      <c r="M78" s="5"/>
      <c r="N78" s="5"/>
    </row>
    <row r="79" spans="2:21" x14ac:dyDescent="0.3">
      <c r="B79" s="9" t="s">
        <v>331</v>
      </c>
      <c r="J79" s="9"/>
      <c r="K79" s="9"/>
      <c r="L79" s="9"/>
      <c r="M79" s="5"/>
      <c r="N79" s="5"/>
    </row>
    <row r="80" spans="2:21" x14ac:dyDescent="0.3">
      <c r="B80" s="5" t="s">
        <v>332</v>
      </c>
      <c r="J80" s="9"/>
      <c r="K80" s="9"/>
      <c r="L80" s="62"/>
      <c r="M80" s="5"/>
      <c r="N80" s="5"/>
    </row>
  </sheetData>
  <sheetProtection pivotTables="0"/>
  <mergeCells count="27">
    <mergeCell ref="AT12:AX12"/>
    <mergeCell ref="R12:X12"/>
    <mergeCell ref="Y12:AC12"/>
    <mergeCell ref="B5:B6"/>
    <mergeCell ref="B7:B8"/>
    <mergeCell ref="AM11:AR11"/>
    <mergeCell ref="H57:I57"/>
    <mergeCell ref="L64:M64"/>
    <mergeCell ref="L65:M65"/>
    <mergeCell ref="L59:M59"/>
    <mergeCell ref="L60:M60"/>
    <mergeCell ref="L57:M57"/>
    <mergeCell ref="L58:M58"/>
    <mergeCell ref="L61:M61"/>
    <mergeCell ref="L77:M77"/>
    <mergeCell ref="P57:P70"/>
    <mergeCell ref="L68:M68"/>
    <mergeCell ref="L69:M69"/>
    <mergeCell ref="L70:M70"/>
    <mergeCell ref="L74:M74"/>
    <mergeCell ref="L75:M75"/>
    <mergeCell ref="L66:M66"/>
    <mergeCell ref="L67:M67"/>
    <mergeCell ref="L76:M76"/>
    <mergeCell ref="L71:M71"/>
    <mergeCell ref="L72:M72"/>
    <mergeCell ref="L73:M7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6" workbookViewId="0">
      <selection activeCell="G16" sqref="G16:G18"/>
    </sheetView>
  </sheetViews>
  <sheetFormatPr baseColWidth="10" defaultColWidth="11.44140625" defaultRowHeight="14.4" x14ac:dyDescent="0.3"/>
  <cols>
    <col min="1" max="1" width="13" style="118" customWidth="1"/>
    <col min="2" max="16384" width="11.44140625" style="118"/>
  </cols>
  <sheetData>
    <row r="1" spans="1:7" x14ac:dyDescent="0.3">
      <c r="A1" s="118" t="s">
        <v>350</v>
      </c>
    </row>
    <row r="2" spans="1:7" x14ac:dyDescent="0.3">
      <c r="A2" s="118" t="s">
        <v>351</v>
      </c>
    </row>
    <row r="3" spans="1:7" x14ac:dyDescent="0.3">
      <c r="A3" s="119" t="s">
        <v>352</v>
      </c>
    </row>
    <row r="4" spans="1:7" x14ac:dyDescent="0.3">
      <c r="A4" s="119"/>
    </row>
    <row r="5" spans="1:7" x14ac:dyDescent="0.3">
      <c r="A5" s="118" t="s">
        <v>402</v>
      </c>
    </row>
    <row r="6" spans="1:7" x14ac:dyDescent="0.3">
      <c r="B6" s="419" t="s">
        <v>355</v>
      </c>
      <c r="C6" s="419"/>
      <c r="D6" s="419"/>
      <c r="E6" s="419"/>
    </row>
    <row r="7" spans="1:7" x14ac:dyDescent="0.3">
      <c r="A7" s="120" t="s">
        <v>357</v>
      </c>
      <c r="B7" s="121">
        <v>5600</v>
      </c>
      <c r="C7" s="121">
        <v>6700</v>
      </c>
      <c r="D7" s="121">
        <v>7700</v>
      </c>
      <c r="E7" s="121">
        <v>10700</v>
      </c>
    </row>
    <row r="8" spans="1:7" x14ac:dyDescent="0.3">
      <c r="A8" s="120" t="s">
        <v>218</v>
      </c>
      <c r="B8" s="121">
        <v>194</v>
      </c>
      <c r="C8" s="121">
        <v>146</v>
      </c>
      <c r="D8" s="121">
        <v>98</v>
      </c>
      <c r="E8" s="121">
        <v>48</v>
      </c>
    </row>
    <row r="9" spans="1:7" x14ac:dyDescent="0.3">
      <c r="A9" s="120" t="s">
        <v>353</v>
      </c>
      <c r="B9" s="121">
        <v>240</v>
      </c>
      <c r="C9" s="121">
        <v>176</v>
      </c>
      <c r="D9" s="121">
        <v>113</v>
      </c>
      <c r="E9" s="121">
        <v>63</v>
      </c>
    </row>
    <row r="10" spans="1:7" x14ac:dyDescent="0.3">
      <c r="A10" s="120" t="s">
        <v>354</v>
      </c>
      <c r="B10" s="121">
        <v>277</v>
      </c>
      <c r="C10" s="121">
        <v>202</v>
      </c>
      <c r="D10" s="121">
        <v>126</v>
      </c>
      <c r="E10" s="121">
        <v>76</v>
      </c>
    </row>
    <row r="12" spans="1:7" x14ac:dyDescent="0.3">
      <c r="A12" s="118" t="s">
        <v>356</v>
      </c>
    </row>
    <row r="14" spans="1:7" x14ac:dyDescent="0.3">
      <c r="A14" s="118" t="s">
        <v>404</v>
      </c>
    </row>
    <row r="15" spans="1:7" ht="43.2" x14ac:dyDescent="0.3">
      <c r="B15" s="122" t="s">
        <v>358</v>
      </c>
      <c r="C15" s="122" t="s">
        <v>361</v>
      </c>
      <c r="D15" s="122" t="s">
        <v>362</v>
      </c>
      <c r="E15" s="122" t="s">
        <v>359</v>
      </c>
      <c r="F15" s="122" t="s">
        <v>360</v>
      </c>
      <c r="G15" s="122" t="s">
        <v>363</v>
      </c>
    </row>
    <row r="16" spans="1:7" x14ac:dyDescent="0.3">
      <c r="A16" s="120" t="str">
        <f>'Saisie maison'!A13</f>
        <v>Logement 1</v>
      </c>
      <c r="B16" s="120">
        <f>IF(('Saisie maison'!H13+'Saisie maison'!I13)=1,1,IF('Saisie maison'!H13+'Saisie maison'!I13=2,1.5,IF(('Saisie maison'!H13+'Saisie maison'!I13)&gt;2,1.5+('Saisie maison'!H13+'Saisie maison'!I13-2)*0.3,0)))</f>
        <v>0</v>
      </c>
      <c r="C16" s="121">
        <f>IF('Saisie maison'!P13=Ressources!$A$3,0,IF('Saisie maison'!P13=Ressources!$A$4,0,IF('Saisie maison'!P13=Ressources!$A$5,Ressources!$B$5,IF('Saisie maison'!P13=Ressources!$A$6,Ressources!$B$6,IF('Saisie maison'!P13=Ressources!$A$7,Ressources!$B$7,IF('Saisie maison'!P13=Ressources!$A$8,Ressources!$B$8,IF('Saisie maison'!P13=Ressources!$A$9,Ressources!$B$9,IF('Saisie maison'!P13=Ressources!$A$10,Ressources!$B$10,IF('Saisie maison'!P13=Ressources!$A$11,Ressources!$B$11,0)))))))))</f>
        <v>0</v>
      </c>
      <c r="D16" s="121">
        <f>IF('Saisie maison'!Q13=Ressources!$A$3,0,IF('Saisie maison'!Q13=Ressources!$A$4,0,IF('Saisie maison'!Q13=Ressources!$A$5,Ressources!$B$5,IF('Saisie maison'!Q13=Ressources!$A$6,Ressources!$B$6,IF('Saisie maison'!Q13=Ressources!$A$7,Ressources!$B$7,IF('Saisie maison'!Q13=Ressources!$A$8,Ressources!$B$8,IF('Saisie maison'!Q13=Ressources!$A$9,Ressources!$B$9,IF('Saisie maison'!Q13=Ressources!$A$10,Ressources!$B$10,IF('Saisie maison'!Q13=Ressources!$A$11,Ressources!$B$11,0)))))))))</f>
        <v>0</v>
      </c>
      <c r="E16" s="121">
        <f>(C16+D16)*0.9*12</f>
        <v>0</v>
      </c>
      <c r="F16" s="121" t="e">
        <f>E16/B16</f>
        <v>#DIV/0!</v>
      </c>
      <c r="G16" s="121" t="e">
        <f>IF('Cheque Energie'!F16&lt;'Cheque Energie'!$B$7,IF('Cheque Energie'!B16=1,'Cheque Energie'!$B$8,IF('Cheque Energie'!B16&lt;2,'Cheque Energie'!$B$9,IF('Cheque Energie'!B16&gt;2,'Cheque Energie'!$B$10,0))),IF('Cheque Energie'!F16&lt;'Cheque Energie'!$C$7,IF('Cheque Energie'!B16=1,'Cheque Energie'!$C$8,IF('Cheque Energie'!B16&lt;2,'Cheque Energie'!$C$9,IF('Cheque Energie'!B16&gt;2,'Cheque Energie'!$C$10,0))),IF('Cheque Energie'!F16&lt;'Cheque Energie'!$D$7,IF('Cheque Energie'!B16=1,'Cheque Energie'!$D$8,IF('Cheque Energie'!B16&lt;2,'Cheque Energie'!$D$9,IF('Cheque Energie'!B16&gt;2,'Cheque Energie'!$D$10,0))),IF('Cheque Energie'!F16&lt;'Cheque Energie'!$E$7,IF('Cheque Energie'!B16=1,'Cheque Energie'!$E$8,IF('Cheque Energie'!B16&lt;2,'Cheque Energie'!$E$9,IF('Cheque Energie'!B16&gt;2,'Cheque Energie'!$E$10,0))),0))))</f>
        <v>#DIV/0!</v>
      </c>
    </row>
    <row r="17" spans="1:7" x14ac:dyDescent="0.3">
      <c r="A17" s="120" t="str">
        <f>'Saisie maison'!A14</f>
        <v>Logement 2</v>
      </c>
      <c r="B17" s="120">
        <f>IF(('Saisie maison'!H14+'Saisie maison'!I14)=1,1,IF('Saisie maison'!H14+'Saisie maison'!I14=2,1.5,IF(('Saisie maison'!H14+'Saisie maison'!I14)&gt;2,1.5+('Saisie maison'!H14+'Saisie maison'!I14-2)*0.3,0)))</f>
        <v>0</v>
      </c>
      <c r="C17" s="121">
        <f>IF('Saisie maison'!P14=Ressources!$A$3,0,IF('Saisie maison'!P14=Ressources!$A$4,0,IF('Saisie maison'!P14=Ressources!$A$5,Ressources!$B$5,IF('Saisie maison'!P14=Ressources!$A$6,Ressources!$B$6,IF('Saisie maison'!P14=Ressources!$A$7,Ressources!$B$7,IF('Saisie maison'!P14=Ressources!$A$8,Ressources!$B$8,IF('Saisie maison'!P14=Ressources!$A$9,Ressources!$B$9,IF('Saisie maison'!P14=Ressources!$A$10,Ressources!$B$10,IF('Saisie maison'!P14=Ressources!$A$11,Ressources!$B$11,0)))))))))</f>
        <v>0</v>
      </c>
      <c r="D17" s="121">
        <f>IF('Saisie maison'!Q14=Ressources!$A$3,0,IF('Saisie maison'!Q14=Ressources!$A$4,0,IF('Saisie maison'!Q14=Ressources!$A$5,Ressources!$B$5,IF('Saisie maison'!Q14=Ressources!$A$6,Ressources!$B$6,IF('Saisie maison'!Q14=Ressources!$A$7,Ressources!$B$7,IF('Saisie maison'!Q14=Ressources!$A$8,Ressources!$B$8,IF('Saisie maison'!Q14=Ressources!$A$9,Ressources!$B$9,IF('Saisie maison'!Q14=Ressources!$A$10,Ressources!$B$10,IF('Saisie maison'!Q14=Ressources!$A$11,Ressources!$B$11,0)))))))))</f>
        <v>0</v>
      </c>
      <c r="E17" s="121">
        <f t="shared" ref="E17:E18" si="0">(C17+D17)*0.9*12</f>
        <v>0</v>
      </c>
      <c r="F17" s="121" t="e">
        <f t="shared" ref="F17:F18" si="1">E17/B17</f>
        <v>#DIV/0!</v>
      </c>
      <c r="G17" s="121" t="e">
        <f>IF('Cheque Energie'!F17&lt;'Cheque Energie'!$B$7,IF('Cheque Energie'!B17=1,'Cheque Energie'!$B$8,IF('Cheque Energie'!B17&lt;2,'Cheque Energie'!$B$9,IF('Cheque Energie'!B17&gt;2,'Cheque Energie'!$B$10,0))),IF('Cheque Energie'!F17&lt;'Cheque Energie'!$C$7,IF('Cheque Energie'!B17=1,'Cheque Energie'!$C$8,IF('Cheque Energie'!B17&lt;2,'Cheque Energie'!$C$9,IF('Cheque Energie'!B17&gt;2,'Cheque Energie'!$C$10,0))),IF('Cheque Energie'!F17&lt;'Cheque Energie'!$D$7,IF('Cheque Energie'!B17=1,'Cheque Energie'!$D$8,IF('Cheque Energie'!B17&lt;2,'Cheque Energie'!$D$9,IF('Cheque Energie'!B17&gt;2,'Cheque Energie'!$D$10,0))),IF('Cheque Energie'!F17&lt;'Cheque Energie'!$E$7,IF('Cheque Energie'!B17=1,'Cheque Energie'!$E$8,IF('Cheque Energie'!B17&lt;2,'Cheque Energie'!$E$9,IF('Cheque Energie'!B17&gt;2,'Cheque Energie'!$E$10,0))),0))))</f>
        <v>#DIV/0!</v>
      </c>
    </row>
    <row r="18" spans="1:7" x14ac:dyDescent="0.3">
      <c r="A18" s="120" t="str">
        <f>'Saisie maison'!A15</f>
        <v>Logement 3</v>
      </c>
      <c r="B18" s="120">
        <f>IF(('Saisie maison'!H15+'Saisie maison'!I15)=1,1,IF('Saisie maison'!H15+'Saisie maison'!I15=2,1.5,IF(('Saisie maison'!H15+'Saisie maison'!I15)&gt;2,1.5+('Saisie maison'!H15+'Saisie maison'!I15-2)*0.3,0)))</f>
        <v>0</v>
      </c>
      <c r="C18" s="121">
        <f>IF('Saisie maison'!P15=Ressources!$A$3,0,IF('Saisie maison'!P15=Ressources!$A$4,0,IF('Saisie maison'!P15=Ressources!$A$5,Ressources!$B$5,IF('Saisie maison'!P15=Ressources!$A$6,Ressources!$B$6,IF('Saisie maison'!P15=Ressources!$A$7,Ressources!$B$7,IF('Saisie maison'!P15=Ressources!$A$8,Ressources!$B$8,IF('Saisie maison'!P15=Ressources!$A$9,Ressources!$B$9,IF('Saisie maison'!P15=Ressources!$A$10,Ressources!$B$10,IF('Saisie maison'!P15=Ressources!$A$11,Ressources!$B$11,0)))))))))</f>
        <v>0</v>
      </c>
      <c r="D18" s="121">
        <f>IF('Saisie maison'!Q15=Ressources!$A$3,0,IF('Saisie maison'!Q15=Ressources!$A$4,0,IF('Saisie maison'!Q15=Ressources!$A$5,Ressources!$B$5,IF('Saisie maison'!Q15=Ressources!$A$6,Ressources!$B$6,IF('Saisie maison'!Q15=Ressources!$A$7,Ressources!$B$7,IF('Saisie maison'!Q15=Ressources!$A$8,Ressources!$B$8,IF('Saisie maison'!Q15=Ressources!$A$9,Ressources!$B$9,IF('Saisie maison'!Q15=Ressources!$A$10,Ressources!$B$10,IF('Saisie maison'!Q15=Ressources!$A$11,Ressources!$B$11,0)))))))))</f>
        <v>0</v>
      </c>
      <c r="E18" s="121">
        <f t="shared" si="0"/>
        <v>0</v>
      </c>
      <c r="F18" s="121" t="e">
        <f t="shared" si="1"/>
        <v>#DIV/0!</v>
      </c>
      <c r="G18" s="121" t="e">
        <f>IF('Cheque Energie'!F18&lt;'Cheque Energie'!$B$7,IF('Cheque Energie'!B18=1,'Cheque Energie'!$B$8,IF('Cheque Energie'!B18&lt;2,'Cheque Energie'!$B$9,IF('Cheque Energie'!B18&gt;2,'Cheque Energie'!$B$10,0))),IF('Cheque Energie'!F18&lt;'Cheque Energie'!$C$7,IF('Cheque Energie'!B18=1,'Cheque Energie'!$C$8,IF('Cheque Energie'!B18&lt;2,'Cheque Energie'!$C$9,IF('Cheque Energie'!B18&gt;2,'Cheque Energie'!$C$10,0))),IF('Cheque Energie'!F18&lt;'Cheque Energie'!$D$7,IF('Cheque Energie'!B18=1,'Cheque Energie'!$D$8,IF('Cheque Energie'!B18&lt;2,'Cheque Energie'!$D$9,IF('Cheque Energie'!B18&gt;2,'Cheque Energie'!$D$10,0))),IF('Cheque Energie'!F18&lt;'Cheque Energie'!$E$7,IF('Cheque Energie'!B18=1,'Cheque Energie'!$E$8,IF('Cheque Energie'!B18&lt;2,'Cheque Energie'!$E$9,IF('Cheque Energie'!B18&gt;2,'Cheque Energie'!$E$10,0))),0))))</f>
        <v>#DIV/0!</v>
      </c>
    </row>
    <row r="19" spans="1:7" x14ac:dyDescent="0.3">
      <c r="A19" s="120" t="str">
        <f>'Saisie maison'!A16</f>
        <v>Logement 4</v>
      </c>
      <c r="B19" s="120">
        <f>IF(('Saisie maison'!H16+'Saisie maison'!I16)=1,1,IF('Saisie maison'!H16+'Saisie maison'!I16=2,1.5,IF(('Saisie maison'!H16+'Saisie maison'!I16)&gt;2,1.5+('Saisie maison'!H16+'Saisie maison'!I16-2)*0.3,0)))</f>
        <v>0</v>
      </c>
      <c r="C19" s="121">
        <f>IF('Saisie maison'!P16=Ressources!$A$3,0,IF('Saisie maison'!P16=Ressources!$A$4,0,IF('Saisie maison'!P16=Ressources!$A$5,Ressources!$B$5,IF('Saisie maison'!P16=Ressources!$A$6,Ressources!$B$6,IF('Saisie maison'!P16=Ressources!$A$7,Ressources!$B$7,IF('Saisie maison'!P16=Ressources!$A$8,Ressources!$B$8,IF('Saisie maison'!P16=Ressources!$A$9,Ressources!$B$9,IF('Saisie maison'!P16=Ressources!$A$10,Ressources!$B$10,IF('Saisie maison'!P16=Ressources!$A$11,Ressources!$B$11,0)))))))))</f>
        <v>0</v>
      </c>
      <c r="D19" s="121">
        <f>IF('Saisie maison'!Q16=Ressources!$A$3,0,IF('Saisie maison'!Q16=Ressources!$A$4,0,IF('Saisie maison'!Q16=Ressources!$A$5,Ressources!$B$5,IF('Saisie maison'!Q16=Ressources!$A$6,Ressources!$B$6,IF('Saisie maison'!Q16=Ressources!$A$7,Ressources!$B$7,IF('Saisie maison'!Q16=Ressources!$A$8,Ressources!$B$8,IF('Saisie maison'!Q16=Ressources!$A$9,Ressources!$B$9,IF('Saisie maison'!Q16=Ressources!$A$10,Ressources!$B$10,IF('Saisie maison'!Q16=Ressources!$A$11,Ressources!$B$11,0)))))))))</f>
        <v>0</v>
      </c>
      <c r="E19" s="121">
        <f>(C19+D19)*0.9*12</f>
        <v>0</v>
      </c>
      <c r="F19" s="121" t="e">
        <f>E19/B19</f>
        <v>#DIV/0!</v>
      </c>
      <c r="G19" s="121" t="e">
        <f>IF('Cheque Energie'!F19&lt;'Cheque Energie'!$B$7,IF('Cheque Energie'!B19=1,'Cheque Energie'!$B$8,IF('Cheque Energie'!B19&lt;2,'Cheque Energie'!$B$9,IF('Cheque Energie'!B19&gt;2,'Cheque Energie'!$B$10,0))),IF('Cheque Energie'!F19&lt;'Cheque Energie'!$C$7,IF('Cheque Energie'!B19=1,'Cheque Energie'!$C$8,IF('Cheque Energie'!B19&lt;2,'Cheque Energie'!$C$9,IF('Cheque Energie'!B19&gt;2,'Cheque Energie'!$C$10,0))),IF('Cheque Energie'!F19&lt;'Cheque Energie'!$D$7,IF('Cheque Energie'!B19=1,'Cheque Energie'!$D$8,IF('Cheque Energie'!B19&lt;2,'Cheque Energie'!$D$9,IF('Cheque Energie'!B19&gt;2,'Cheque Energie'!$D$10,0))),IF('Cheque Energie'!F19&lt;'Cheque Energie'!$E$7,IF('Cheque Energie'!B19=1,'Cheque Energie'!$E$8,IF('Cheque Energie'!B19&lt;2,'Cheque Energie'!$E$9,IF('Cheque Energie'!B19&gt;2,'Cheque Energie'!$E$10,0))),0))))</f>
        <v>#DIV/0!</v>
      </c>
    </row>
    <row r="20" spans="1:7" x14ac:dyDescent="0.3">
      <c r="A20" s="120" t="str">
        <f>'Saisie maison'!A17</f>
        <v>Logement 5</v>
      </c>
      <c r="B20" s="120">
        <f>IF(('Saisie maison'!H17+'Saisie maison'!I17)=1,1,IF('Saisie maison'!H17+'Saisie maison'!I17=2,1.5,IF(('Saisie maison'!H17+'Saisie maison'!I17)&gt;2,1.5+('Saisie maison'!H17+'Saisie maison'!I17-2)*0.3,0)))</f>
        <v>0</v>
      </c>
      <c r="C20" s="121">
        <f>IF('Saisie maison'!P17=Ressources!$A$3,0,IF('Saisie maison'!P17=Ressources!$A$4,0,IF('Saisie maison'!P17=Ressources!$A$5,Ressources!$B$5,IF('Saisie maison'!P17=Ressources!$A$6,Ressources!$B$6,IF('Saisie maison'!P17=Ressources!$A$7,Ressources!$B$7,IF('Saisie maison'!P17=Ressources!$A$8,Ressources!$B$8,IF('Saisie maison'!P17=Ressources!$A$9,Ressources!$B$9,IF('Saisie maison'!P17=Ressources!$A$10,Ressources!$B$10,IF('Saisie maison'!P17=Ressources!$A$11,Ressources!$B$11,0)))))))))</f>
        <v>0</v>
      </c>
      <c r="D20" s="121">
        <f>IF('Saisie maison'!Q17=Ressources!$A$3,0,IF('Saisie maison'!Q17=Ressources!$A$4,0,IF('Saisie maison'!Q17=Ressources!$A$5,Ressources!$B$5,IF('Saisie maison'!Q17=Ressources!$A$6,Ressources!$B$6,IF('Saisie maison'!Q17=Ressources!$A$7,Ressources!$B$7,IF('Saisie maison'!Q17=Ressources!$A$8,Ressources!$B$8,IF('Saisie maison'!Q17=Ressources!$A$9,Ressources!$B$9,IF('Saisie maison'!Q17=Ressources!$A$10,Ressources!$B$10,IF('Saisie maison'!Q17=Ressources!$A$11,Ressources!$B$11,0)))))))))</f>
        <v>0</v>
      </c>
      <c r="E20" s="121">
        <f>(C20+D20)*0.9*12</f>
        <v>0</v>
      </c>
      <c r="F20" s="121" t="e">
        <f>E20/B20</f>
        <v>#DIV/0!</v>
      </c>
      <c r="G20" s="121" t="e">
        <f>IF('Cheque Energie'!F20&lt;'Cheque Energie'!$B$7,IF('Cheque Energie'!B20=1,'Cheque Energie'!$B$8,IF('Cheque Energie'!B20&lt;2,'Cheque Energie'!$B$9,IF('Cheque Energie'!B20&gt;2,'Cheque Energie'!$B$10,0))),IF('Cheque Energie'!F20&lt;'Cheque Energie'!$C$7,IF('Cheque Energie'!B20=1,'Cheque Energie'!$C$8,IF('Cheque Energie'!B20&lt;2,'Cheque Energie'!$C$9,IF('Cheque Energie'!B20&gt;2,'Cheque Energie'!$C$10,0))),IF('Cheque Energie'!F20&lt;'Cheque Energie'!$D$7,IF('Cheque Energie'!B20=1,'Cheque Energie'!$D$8,IF('Cheque Energie'!B20&lt;2,'Cheque Energie'!$D$9,IF('Cheque Energie'!B20&gt;2,'Cheque Energie'!$D$10,0))),IF('Cheque Energie'!F20&lt;'Cheque Energie'!$E$7,IF('Cheque Energie'!B20=1,'Cheque Energie'!$E$8,IF('Cheque Energie'!B20&lt;2,'Cheque Energie'!$E$9,IF('Cheque Energie'!B20&gt;2,'Cheque Energie'!$E$10,0))),0))))</f>
        <v>#DIV/0!</v>
      </c>
    </row>
    <row r="22" spans="1:7" x14ac:dyDescent="0.3">
      <c r="A22" s="118" t="s">
        <v>405</v>
      </c>
    </row>
    <row r="23" spans="1:7" ht="43.2" x14ac:dyDescent="0.3">
      <c r="B23" s="122" t="s">
        <v>358</v>
      </c>
      <c r="C23" s="122" t="s">
        <v>361</v>
      </c>
      <c r="D23" s="122" t="s">
        <v>362</v>
      </c>
      <c r="E23" s="122" t="s">
        <v>359</v>
      </c>
      <c r="F23" s="122" t="s">
        <v>360</v>
      </c>
      <c r="G23" s="122" t="s">
        <v>363</v>
      </c>
    </row>
    <row r="24" spans="1:7" x14ac:dyDescent="0.3">
      <c r="A24" s="120" t="str">
        <f>'Saisie immeuble'!A11</f>
        <v>Logement 1</v>
      </c>
      <c r="B24" s="120">
        <f>IF(('Saisie immeuble'!I11+'Saisie immeuble'!J11)=1,1,IF('Saisie immeuble'!I11+'Saisie immeuble'!J11=2,1.5,IF(('Saisie immeuble'!I11+'Saisie immeuble'!J11)&gt;2,1.5+('Saisie immeuble'!I11+'Saisie immeuble'!J11-2)*0.3,0)))</f>
        <v>0</v>
      </c>
      <c r="C24" s="121">
        <f>IF('Saisie immeuble'!Q11=Ressources!$A$3,0,IF('Saisie immeuble'!Q11=Ressources!$A$4,0,IF('Saisie immeuble'!Q11=Ressources!$A$5,Ressources!$B$5,IF('Saisie immeuble'!Q11=Ressources!$A$6,Ressources!$B$6,IF('Saisie immeuble'!Q11=Ressources!$A$7,Ressources!$B$7,IF('Saisie immeuble'!Q11=Ressources!$A$8,Ressources!$B$8,IF('Saisie immeuble'!Q11=Ressources!$A$9,Ressources!$B$9,IF('Saisie immeuble'!Q11=Ressources!$A$10,Ressources!$B$10,IF('Saisie immeuble'!Q11=Ressources!$A$11,Ressources!$B$11,0)))))))))</f>
        <v>0</v>
      </c>
      <c r="D24" s="121">
        <f>IF('Saisie immeuble'!R11=Ressources!$A$3,0,IF('Saisie immeuble'!R11=Ressources!$A$4,0,IF('Saisie immeuble'!R11=Ressources!$A$5,Ressources!$B$5,IF('Saisie immeuble'!R11=Ressources!$A$6,Ressources!$B$6,IF('Saisie immeuble'!R11=Ressources!$A$7,Ressources!$B$7,IF('Saisie immeuble'!R11=Ressources!$A$8,Ressources!$B$8,IF('Saisie immeuble'!R11=Ressources!$A$9,Ressources!$B$9,IF('Saisie immeuble'!R11=Ressources!$A$10,Ressources!$B$10,IF('Saisie immeuble'!R11=Ressources!$A$11,Ressources!$B$11,0)))))))))</f>
        <v>0</v>
      </c>
      <c r="E24" s="121">
        <f>(C24+D24)*0.9*12</f>
        <v>0</v>
      </c>
      <c r="F24" s="121" t="e">
        <f>E24/B24</f>
        <v>#DIV/0!</v>
      </c>
      <c r="G24" s="121" t="e">
        <f>IF('Cheque Energie'!F24&lt;'Cheque Energie'!$B$7,IF('Cheque Energie'!B24=1,'Cheque Energie'!$B$8,IF('Cheque Energie'!B24&lt;2,'Cheque Energie'!$B$9,IF('Cheque Energie'!B24&gt;2,'Cheque Energie'!$B$10,0))),IF('Cheque Energie'!F24&lt;'Cheque Energie'!$C$7,IF('Cheque Energie'!B24=1,'Cheque Energie'!$C$8,IF('Cheque Energie'!B24&lt;2,'Cheque Energie'!$C$9,IF('Cheque Energie'!B24&gt;2,'Cheque Energie'!$C$10,0))),IF('Cheque Energie'!F24&lt;'Cheque Energie'!$D$7,IF('Cheque Energie'!B24=1,'Cheque Energie'!$D$8,IF('Cheque Energie'!B24&lt;2,'Cheque Energie'!$D$9,IF('Cheque Energie'!B24&gt;2,'Cheque Energie'!$D$10,0))),IF('Cheque Energie'!F24&lt;'Cheque Energie'!$E$7,IF('Cheque Energie'!B24=1,'Cheque Energie'!$E$8,IF('Cheque Energie'!B24&lt;2,'Cheque Energie'!$E$9,IF('Cheque Energie'!B24&gt;2,'Cheque Energie'!$E$10,0))),0))))</f>
        <v>#DIV/0!</v>
      </c>
    </row>
    <row r="25" spans="1:7" x14ac:dyDescent="0.3">
      <c r="A25" s="120" t="str">
        <f>'Saisie immeuble'!A12</f>
        <v>Logement 2</v>
      </c>
      <c r="B25" s="120">
        <f>IF(('Saisie immeuble'!I12+'Saisie immeuble'!J12)=1,1,IF('Saisie immeuble'!I12+'Saisie immeuble'!J12=2,1.5,IF(('Saisie immeuble'!I12+'Saisie immeuble'!J12)&gt;2,1.5+('Saisie immeuble'!I12+'Saisie immeuble'!J12-2)*0.3,0)))</f>
        <v>0</v>
      </c>
      <c r="C25" s="121">
        <f>IF('Saisie immeuble'!Q12=Ressources!$A$3,0,IF('Saisie immeuble'!Q12=Ressources!$A$4,0,IF('Saisie immeuble'!Q12=Ressources!$A$5,Ressources!$B$5,IF('Saisie immeuble'!Q12=Ressources!$A$6,Ressources!$B$6,IF('Saisie immeuble'!Q12=Ressources!$A$7,Ressources!$B$7,IF('Saisie immeuble'!Q12=Ressources!$A$8,Ressources!$B$8,IF('Saisie immeuble'!Q12=Ressources!$A$9,Ressources!$B$9,IF('Saisie immeuble'!Q12=Ressources!$A$10,Ressources!$B$10,IF('Saisie immeuble'!Q12=Ressources!$A$11,Ressources!$B$11,0)))))))))</f>
        <v>0</v>
      </c>
      <c r="D25" s="121">
        <f>IF('Saisie immeuble'!R12=Ressources!$A$3,0,IF('Saisie immeuble'!R12=Ressources!$A$4,0,IF('Saisie immeuble'!R12=Ressources!$A$5,Ressources!$B$5,IF('Saisie immeuble'!R12=Ressources!$A$6,Ressources!$B$6,IF('Saisie immeuble'!R12=Ressources!$A$7,Ressources!$B$7,IF('Saisie immeuble'!R12=Ressources!$A$8,Ressources!$B$8,IF('Saisie immeuble'!R12=Ressources!$A$9,Ressources!$B$9,IF('Saisie immeuble'!R12=Ressources!$A$10,Ressources!$B$10,IF('Saisie immeuble'!R12=Ressources!$A$11,Ressources!$B$11,0)))))))))</f>
        <v>0</v>
      </c>
      <c r="E25" s="121">
        <f>(C25+D25)*0.9*12</f>
        <v>0</v>
      </c>
      <c r="F25" s="121" t="e">
        <f>E25/B25</f>
        <v>#DIV/0!</v>
      </c>
      <c r="G25" s="121" t="e">
        <f>IF('Cheque Energie'!F25&lt;'Cheque Energie'!$B$7,IF('Cheque Energie'!B25=1,'Cheque Energie'!$B$8,IF('Cheque Energie'!B25&lt;2,'Cheque Energie'!$B$9,IF('Cheque Energie'!B25&gt;2,'Cheque Energie'!$B$10,0))),IF('Cheque Energie'!F25&lt;'Cheque Energie'!$C$7,IF('Cheque Energie'!B25=1,'Cheque Energie'!$C$8,IF('Cheque Energie'!B25&lt;2,'Cheque Energie'!$C$9,IF('Cheque Energie'!B25&gt;2,'Cheque Energie'!$C$10,0))),IF('Cheque Energie'!F25&lt;'Cheque Energie'!$D$7,IF('Cheque Energie'!B25=1,'Cheque Energie'!$D$8,IF('Cheque Energie'!B25&lt;2,'Cheque Energie'!$D$9,IF('Cheque Energie'!B25&gt;2,'Cheque Energie'!$D$10,0))),IF('Cheque Energie'!F25&lt;'Cheque Energie'!$E$7,IF('Cheque Energie'!B25=1,'Cheque Energie'!$E$8,IF('Cheque Energie'!B25&lt;2,'Cheque Energie'!$E$9,IF('Cheque Energie'!B25&gt;2,'Cheque Energie'!$E$10,0))),0))))</f>
        <v>#DIV/0!</v>
      </c>
    </row>
    <row r="26" spans="1:7" x14ac:dyDescent="0.3">
      <c r="A26" s="120" t="str">
        <f>'Saisie immeuble'!A13</f>
        <v>Logement 3</v>
      </c>
      <c r="B26" s="120">
        <f>IF(('Saisie immeuble'!I13+'Saisie immeuble'!J13)=1,1,IF('Saisie immeuble'!I13+'Saisie immeuble'!J13=2,1.5,IF(('Saisie immeuble'!I13+'Saisie immeuble'!J13)&gt;2,1.5+('Saisie immeuble'!I13+'Saisie immeuble'!J13-2)*0.3,0)))</f>
        <v>0</v>
      </c>
      <c r="C26" s="121">
        <f>IF('Saisie immeuble'!Q13=Ressources!$A$3,0,IF('Saisie immeuble'!Q13=Ressources!$A$4,0,IF('Saisie immeuble'!Q13=Ressources!$A$5,Ressources!$B$5,IF('Saisie immeuble'!Q13=Ressources!$A$6,Ressources!$B$6,IF('Saisie immeuble'!Q13=Ressources!$A$7,Ressources!$B$7,IF('Saisie immeuble'!Q13=Ressources!$A$8,Ressources!$B$8,IF('Saisie immeuble'!Q13=Ressources!$A$9,Ressources!$B$9,IF('Saisie immeuble'!Q13=Ressources!$A$10,Ressources!$B$10,IF('Saisie immeuble'!Q13=Ressources!$A$11,Ressources!$B$11,0)))))))))</f>
        <v>0</v>
      </c>
      <c r="D26" s="121">
        <f>IF('Saisie immeuble'!R13=Ressources!$A$3,0,IF('Saisie immeuble'!R13=Ressources!$A$4,0,IF('Saisie immeuble'!R13=Ressources!$A$5,Ressources!$B$5,IF('Saisie immeuble'!R13=Ressources!$A$6,Ressources!$B$6,IF('Saisie immeuble'!R13=Ressources!$A$7,Ressources!$B$7,IF('Saisie immeuble'!R13=Ressources!$A$8,Ressources!$B$8,IF('Saisie immeuble'!R13=Ressources!$A$9,Ressources!$B$9,IF('Saisie immeuble'!R13=Ressources!$A$10,Ressources!$B$10,IF('Saisie immeuble'!R13=Ressources!$A$11,Ressources!$B$11,0)))))))))</f>
        <v>0</v>
      </c>
      <c r="E26" s="138">
        <f>(C26+D26)*0.9*12</f>
        <v>0</v>
      </c>
      <c r="F26" s="138" t="e">
        <f>E26/B26</f>
        <v>#DIV/0!</v>
      </c>
      <c r="G26" s="138" t="e">
        <f>IF('Cheque Energie'!F26&lt;'Cheque Energie'!$B$7,IF('Cheque Energie'!B26=1,'Cheque Energie'!$B$8,IF('Cheque Energie'!B26&lt;2,'Cheque Energie'!$B$9,IF('Cheque Energie'!B26&gt;2,'Cheque Energie'!$B$10,0))),IF('Cheque Energie'!F26&lt;'Cheque Energie'!$C$7,IF('Cheque Energie'!B26=1,'Cheque Energie'!$C$8,IF('Cheque Energie'!B26&lt;2,'Cheque Energie'!$C$9,IF('Cheque Energie'!B26&gt;2,'Cheque Energie'!$C$10,0))),IF('Cheque Energie'!F26&lt;'Cheque Energie'!$D$7,IF('Cheque Energie'!B26=1,'Cheque Energie'!$D$8,IF('Cheque Energie'!B26&lt;2,'Cheque Energie'!$D$9,IF('Cheque Energie'!B26&gt;2,'Cheque Energie'!$D$10,0))),IF('Cheque Energie'!F26&lt;'Cheque Energie'!$E$7,IF('Cheque Energie'!B26=1,'Cheque Energie'!$E$8,IF('Cheque Energie'!B26&lt;2,'Cheque Energie'!$E$9,IF('Cheque Energie'!B26&gt;2,'Cheque Energie'!$E$10,0))),0))))</f>
        <v>#DIV/0!</v>
      </c>
    </row>
    <row r="27" spans="1:7" x14ac:dyDescent="0.3">
      <c r="A27" s="137" t="str">
        <f>'Saisie immeuble'!A14</f>
        <v>Logement 4</v>
      </c>
      <c r="B27" s="120">
        <f>IF(('Saisie immeuble'!I14+'Saisie immeuble'!J14)=1,1,IF('Saisie immeuble'!I14+'Saisie immeuble'!J14=2,1.5,IF(('Saisie immeuble'!I14+'Saisie immeuble'!J14)&gt;2,1.5+('Saisie immeuble'!I14+'Saisie immeuble'!J14-2)*0.3,0)))</f>
        <v>0</v>
      </c>
      <c r="C27" s="121">
        <f>IF('Saisie immeuble'!Q14=Ressources!$A$3,0,IF('Saisie immeuble'!Q14=Ressources!$A$4,0,IF('Saisie immeuble'!Q14=Ressources!$A$5,Ressources!$B$5,IF('Saisie immeuble'!Q14=Ressources!$A$6,Ressources!$B$6,IF('Saisie immeuble'!Q14=Ressources!$A$7,Ressources!$B$7,IF('Saisie immeuble'!Q14=Ressources!$A$8,Ressources!$B$8,IF('Saisie immeuble'!Q14=Ressources!$A$9,Ressources!$B$9,IF('Saisie immeuble'!Q14=Ressources!$A$10,Ressources!$B$10,IF('Saisie immeuble'!Q14=Ressources!$A$11,Ressources!$B$11,0)))))))))</f>
        <v>0</v>
      </c>
      <c r="D27" s="121">
        <f>IF('Saisie immeuble'!R14=Ressources!$A$3,0,IF('Saisie immeuble'!R14=Ressources!$A$4,0,IF('Saisie immeuble'!R14=Ressources!$A$5,Ressources!$B$5,IF('Saisie immeuble'!R14=Ressources!$A$6,Ressources!$B$6,IF('Saisie immeuble'!R14=Ressources!$A$7,Ressources!$B$7,IF('Saisie immeuble'!R14=Ressources!$A$8,Ressources!$B$8,IF('Saisie immeuble'!R14=Ressources!$A$9,Ressources!$B$9,IF('Saisie immeuble'!R14=Ressources!$A$10,Ressources!$B$10,IF('Saisie immeuble'!R14=Ressources!$A$11,Ressources!$B$11,0)))))))))</f>
        <v>0</v>
      </c>
      <c r="E27" s="138">
        <f t="shared" ref="E27:E33" si="2">(C27+D27)*0.9*12</f>
        <v>0</v>
      </c>
      <c r="F27" s="138" t="e">
        <f t="shared" ref="F27:F33" si="3">E27/B27</f>
        <v>#DIV/0!</v>
      </c>
      <c r="G27" s="138" t="e">
        <f>IF('Cheque Energie'!F27&lt;'Cheque Energie'!$B$7,IF('Cheque Energie'!B27=1,'Cheque Energie'!$B$8,IF('Cheque Energie'!B27&lt;2,'Cheque Energie'!$B$9,IF('Cheque Energie'!B27&gt;2,'Cheque Energie'!$B$10,0))),IF('Cheque Energie'!F27&lt;'Cheque Energie'!$C$7,IF('Cheque Energie'!B27=1,'Cheque Energie'!$C$8,IF('Cheque Energie'!B27&lt;2,'Cheque Energie'!$C$9,IF('Cheque Energie'!B27&gt;2,'Cheque Energie'!$C$10,0))),IF('Cheque Energie'!F27&lt;'Cheque Energie'!$D$7,IF('Cheque Energie'!B27=1,'Cheque Energie'!$D$8,IF('Cheque Energie'!B27&lt;2,'Cheque Energie'!$D$9,IF('Cheque Energie'!B27&gt;2,'Cheque Energie'!$D$10,0))),IF('Cheque Energie'!F27&lt;'Cheque Energie'!$E$7,IF('Cheque Energie'!B27=1,'Cheque Energie'!$E$8,IF('Cheque Energie'!B27&lt;2,'Cheque Energie'!$E$9,IF('Cheque Energie'!B27&gt;2,'Cheque Energie'!$E$10,0))),0))))</f>
        <v>#DIV/0!</v>
      </c>
    </row>
    <row r="28" spans="1:7" x14ac:dyDescent="0.3">
      <c r="A28" s="137" t="str">
        <f>'Saisie immeuble'!A15</f>
        <v>Logement 5</v>
      </c>
      <c r="B28" s="120">
        <f>IF(('Saisie immeuble'!I15+'Saisie immeuble'!J15)=1,1,IF('Saisie immeuble'!I15+'Saisie immeuble'!J15=2,1.5,IF(('Saisie immeuble'!I15+'Saisie immeuble'!J15)&gt;2,1.5+('Saisie immeuble'!I15+'Saisie immeuble'!J15-2)*0.3,0)))</f>
        <v>0</v>
      </c>
      <c r="C28" s="121">
        <f>IF('Saisie immeuble'!Q15=Ressources!$A$3,0,IF('Saisie immeuble'!Q15=Ressources!$A$4,0,IF('Saisie immeuble'!Q15=Ressources!$A$5,Ressources!$B$5,IF('Saisie immeuble'!Q15=Ressources!$A$6,Ressources!$B$6,IF('Saisie immeuble'!Q15=Ressources!$A$7,Ressources!$B$7,IF('Saisie immeuble'!Q15=Ressources!$A$8,Ressources!$B$8,IF('Saisie immeuble'!Q15=Ressources!$A$9,Ressources!$B$9,IF('Saisie immeuble'!Q15=Ressources!$A$10,Ressources!$B$10,IF('Saisie immeuble'!Q15=Ressources!$A$11,Ressources!$B$11,0)))))))))</f>
        <v>0</v>
      </c>
      <c r="D28" s="121">
        <f>IF('Saisie immeuble'!R15=Ressources!$A$3,0,IF('Saisie immeuble'!R15=Ressources!$A$4,0,IF('Saisie immeuble'!R15=Ressources!$A$5,Ressources!$B$5,IF('Saisie immeuble'!R15=Ressources!$A$6,Ressources!$B$6,IF('Saisie immeuble'!R15=Ressources!$A$7,Ressources!$B$7,IF('Saisie immeuble'!R15=Ressources!$A$8,Ressources!$B$8,IF('Saisie immeuble'!R15=Ressources!$A$9,Ressources!$B$9,IF('Saisie immeuble'!R15=Ressources!$A$10,Ressources!$B$10,IF('Saisie immeuble'!R15=Ressources!$A$11,Ressources!$B$11,0)))))))))</f>
        <v>0</v>
      </c>
      <c r="E28" s="138">
        <f t="shared" si="2"/>
        <v>0</v>
      </c>
      <c r="F28" s="138" t="e">
        <f t="shared" si="3"/>
        <v>#DIV/0!</v>
      </c>
      <c r="G28" s="138" t="e">
        <f>IF('Cheque Energie'!F28&lt;'Cheque Energie'!$B$7,IF('Cheque Energie'!B28=1,'Cheque Energie'!$B$8,IF('Cheque Energie'!B28&lt;2,'Cheque Energie'!$B$9,IF('Cheque Energie'!B28&gt;2,'Cheque Energie'!$B$10,0))),IF('Cheque Energie'!F28&lt;'Cheque Energie'!$C$7,IF('Cheque Energie'!B28=1,'Cheque Energie'!$C$8,IF('Cheque Energie'!B28&lt;2,'Cheque Energie'!$C$9,IF('Cheque Energie'!B28&gt;2,'Cheque Energie'!$C$10,0))),IF('Cheque Energie'!F28&lt;'Cheque Energie'!$D$7,IF('Cheque Energie'!B28=1,'Cheque Energie'!$D$8,IF('Cheque Energie'!B28&lt;2,'Cheque Energie'!$D$9,IF('Cheque Energie'!B28&gt;2,'Cheque Energie'!$D$10,0))),IF('Cheque Energie'!F28&lt;'Cheque Energie'!$E$7,IF('Cheque Energie'!B28=1,'Cheque Energie'!$E$8,IF('Cheque Energie'!B28&lt;2,'Cheque Energie'!$E$9,IF('Cheque Energie'!B28&gt;2,'Cheque Energie'!$E$10,0))),0))))</f>
        <v>#DIV/0!</v>
      </c>
    </row>
    <row r="29" spans="1:7" x14ac:dyDescent="0.3">
      <c r="A29" s="137" t="str">
        <f>'Saisie immeuble'!A16</f>
        <v>Logement 6</v>
      </c>
      <c r="B29" s="120">
        <f>IF(('Saisie immeuble'!I16+'Saisie immeuble'!J16)=1,1,IF('Saisie immeuble'!I16+'Saisie immeuble'!J16=2,1.5,IF(('Saisie immeuble'!I16+'Saisie immeuble'!J16)&gt;2,1.5+('Saisie immeuble'!I16+'Saisie immeuble'!J16-2)*0.3,0)))</f>
        <v>0</v>
      </c>
      <c r="C29" s="121">
        <f>IF('Saisie immeuble'!Q16=Ressources!$A$3,0,IF('Saisie immeuble'!Q16=Ressources!$A$4,0,IF('Saisie immeuble'!Q16=Ressources!$A$5,Ressources!$B$5,IF('Saisie immeuble'!Q16=Ressources!$A$6,Ressources!$B$6,IF('Saisie immeuble'!Q16=Ressources!$A$7,Ressources!$B$7,IF('Saisie immeuble'!Q16=Ressources!$A$8,Ressources!$B$8,IF('Saisie immeuble'!Q16=Ressources!$A$9,Ressources!$B$9,IF('Saisie immeuble'!Q16=Ressources!$A$10,Ressources!$B$10,IF('Saisie immeuble'!Q16=Ressources!$A$11,Ressources!$B$11,0)))))))))</f>
        <v>0</v>
      </c>
      <c r="D29" s="121">
        <f>IF('Saisie immeuble'!R16=Ressources!$A$3,0,IF('Saisie immeuble'!R16=Ressources!$A$4,0,IF('Saisie immeuble'!R16=Ressources!$A$5,Ressources!$B$5,IF('Saisie immeuble'!R16=Ressources!$A$6,Ressources!$B$6,IF('Saisie immeuble'!R16=Ressources!$A$7,Ressources!$B$7,IF('Saisie immeuble'!R16=Ressources!$A$8,Ressources!$B$8,IF('Saisie immeuble'!R16=Ressources!$A$9,Ressources!$B$9,IF('Saisie immeuble'!R16=Ressources!$A$10,Ressources!$B$10,IF('Saisie immeuble'!R16=Ressources!$A$11,Ressources!$B$11,0)))))))))</f>
        <v>0</v>
      </c>
      <c r="E29" s="138">
        <f t="shared" si="2"/>
        <v>0</v>
      </c>
      <c r="F29" s="138" t="e">
        <f t="shared" si="3"/>
        <v>#DIV/0!</v>
      </c>
      <c r="G29" s="138" t="e">
        <f>IF('Cheque Energie'!F29&lt;'Cheque Energie'!$B$7,IF('Cheque Energie'!B29=1,'Cheque Energie'!$B$8,IF('Cheque Energie'!B29&lt;2,'Cheque Energie'!$B$9,IF('Cheque Energie'!B29&gt;2,'Cheque Energie'!$B$10,0))),IF('Cheque Energie'!F29&lt;'Cheque Energie'!$C$7,IF('Cheque Energie'!B29=1,'Cheque Energie'!$C$8,IF('Cheque Energie'!B29&lt;2,'Cheque Energie'!$C$9,IF('Cheque Energie'!B29&gt;2,'Cheque Energie'!$C$10,0))),IF('Cheque Energie'!F29&lt;'Cheque Energie'!$D$7,IF('Cheque Energie'!B29=1,'Cheque Energie'!$D$8,IF('Cheque Energie'!B29&lt;2,'Cheque Energie'!$D$9,IF('Cheque Energie'!B29&gt;2,'Cheque Energie'!$D$10,0))),IF('Cheque Energie'!F29&lt;'Cheque Energie'!$E$7,IF('Cheque Energie'!B29=1,'Cheque Energie'!$E$8,IF('Cheque Energie'!B29&lt;2,'Cheque Energie'!$E$9,IF('Cheque Energie'!B29&gt;2,'Cheque Energie'!$E$10,0))),0))))</f>
        <v>#DIV/0!</v>
      </c>
    </row>
    <row r="30" spans="1:7" x14ac:dyDescent="0.3">
      <c r="A30" s="137" t="str">
        <f>'Saisie immeuble'!A17</f>
        <v>Logement 7</v>
      </c>
      <c r="B30" s="120">
        <f>IF(('Saisie immeuble'!I17+'Saisie immeuble'!J17)=1,1,IF('Saisie immeuble'!I17+'Saisie immeuble'!J17=2,1.5,IF(('Saisie immeuble'!I17+'Saisie immeuble'!J17)&gt;2,1.5+('Saisie immeuble'!I17+'Saisie immeuble'!J17-2)*0.3,0)))</f>
        <v>0</v>
      </c>
      <c r="C30" s="121">
        <f>IF('Saisie immeuble'!Q17=Ressources!$A$3,0,IF('Saisie immeuble'!Q17=Ressources!$A$4,0,IF('Saisie immeuble'!Q17=Ressources!$A$5,Ressources!$B$5,IF('Saisie immeuble'!Q17=Ressources!$A$6,Ressources!$B$6,IF('Saisie immeuble'!Q17=Ressources!$A$7,Ressources!$B$7,IF('Saisie immeuble'!Q17=Ressources!$A$8,Ressources!$B$8,IF('Saisie immeuble'!Q17=Ressources!$A$9,Ressources!$B$9,IF('Saisie immeuble'!Q17=Ressources!$A$10,Ressources!$B$10,IF('Saisie immeuble'!Q17=Ressources!$A$11,Ressources!$B$11,0)))))))))</f>
        <v>0</v>
      </c>
      <c r="D30" s="121">
        <f>IF('Saisie immeuble'!R17=Ressources!$A$3,0,IF('Saisie immeuble'!R17=Ressources!$A$4,0,IF('Saisie immeuble'!R17=Ressources!$A$5,Ressources!$B$5,IF('Saisie immeuble'!R17=Ressources!$A$6,Ressources!$B$6,IF('Saisie immeuble'!R17=Ressources!$A$7,Ressources!$B$7,IF('Saisie immeuble'!R17=Ressources!$A$8,Ressources!$B$8,IF('Saisie immeuble'!R17=Ressources!$A$9,Ressources!$B$9,IF('Saisie immeuble'!R17=Ressources!$A$10,Ressources!$B$10,IF('Saisie immeuble'!R17=Ressources!$A$11,Ressources!$B$11,0)))))))))</f>
        <v>0</v>
      </c>
      <c r="E30" s="138">
        <f t="shared" si="2"/>
        <v>0</v>
      </c>
      <c r="F30" s="138" t="e">
        <f t="shared" si="3"/>
        <v>#DIV/0!</v>
      </c>
      <c r="G30" s="138" t="e">
        <f>IF('Cheque Energie'!F30&lt;'Cheque Energie'!$B$7,IF('Cheque Energie'!B30=1,'Cheque Energie'!$B$8,IF('Cheque Energie'!B30&lt;2,'Cheque Energie'!$B$9,IF('Cheque Energie'!B30&gt;2,'Cheque Energie'!$B$10,0))),IF('Cheque Energie'!F30&lt;'Cheque Energie'!$C$7,IF('Cheque Energie'!B30=1,'Cheque Energie'!$C$8,IF('Cheque Energie'!B30&lt;2,'Cheque Energie'!$C$9,IF('Cheque Energie'!B30&gt;2,'Cheque Energie'!$C$10,0))),IF('Cheque Energie'!F30&lt;'Cheque Energie'!$D$7,IF('Cheque Energie'!B30=1,'Cheque Energie'!$D$8,IF('Cheque Energie'!B30&lt;2,'Cheque Energie'!$D$9,IF('Cheque Energie'!B30&gt;2,'Cheque Energie'!$D$10,0))),IF('Cheque Energie'!F30&lt;'Cheque Energie'!$E$7,IF('Cheque Energie'!B30=1,'Cheque Energie'!$E$8,IF('Cheque Energie'!B30&lt;2,'Cheque Energie'!$E$9,IF('Cheque Energie'!B30&gt;2,'Cheque Energie'!$E$10,0))),0))))</f>
        <v>#DIV/0!</v>
      </c>
    </row>
    <row r="31" spans="1:7" x14ac:dyDescent="0.3">
      <c r="A31" s="137" t="str">
        <f>'Saisie immeuble'!A18</f>
        <v>Logement 8</v>
      </c>
      <c r="B31" s="120">
        <f>IF(('Saisie immeuble'!I18+'Saisie immeuble'!J18)=1,1,IF('Saisie immeuble'!I18+'Saisie immeuble'!J18=2,1.5,IF(('Saisie immeuble'!I18+'Saisie immeuble'!J18)&gt;2,1.5+('Saisie immeuble'!I18+'Saisie immeuble'!J18-2)*0.3,0)))</f>
        <v>0</v>
      </c>
      <c r="C31" s="121">
        <f>IF('Saisie immeuble'!Q18=Ressources!$A$3,0,IF('Saisie immeuble'!Q18=Ressources!$A$4,0,IF('Saisie immeuble'!Q18=Ressources!$A$5,Ressources!$B$5,IF('Saisie immeuble'!Q18=Ressources!$A$6,Ressources!$B$6,IF('Saisie immeuble'!Q18=Ressources!$A$7,Ressources!$B$7,IF('Saisie immeuble'!Q18=Ressources!$A$8,Ressources!$B$8,IF('Saisie immeuble'!Q18=Ressources!$A$9,Ressources!$B$9,IF('Saisie immeuble'!Q18=Ressources!$A$10,Ressources!$B$10,IF('Saisie immeuble'!Q18=Ressources!$A$11,Ressources!$B$11,0)))))))))</f>
        <v>0</v>
      </c>
      <c r="D31" s="121">
        <f>IF('Saisie immeuble'!R18=Ressources!$A$3,0,IF('Saisie immeuble'!R18=Ressources!$A$4,0,IF('Saisie immeuble'!R18=Ressources!$A$5,Ressources!$B$5,IF('Saisie immeuble'!R18=Ressources!$A$6,Ressources!$B$6,IF('Saisie immeuble'!R18=Ressources!$A$7,Ressources!$B$7,IF('Saisie immeuble'!R18=Ressources!$A$8,Ressources!$B$8,IF('Saisie immeuble'!R18=Ressources!$A$9,Ressources!$B$9,IF('Saisie immeuble'!R18=Ressources!$A$10,Ressources!$B$10,IF('Saisie immeuble'!R18=Ressources!$A$11,Ressources!$B$11,0)))))))))</f>
        <v>0</v>
      </c>
      <c r="E31" s="138">
        <f t="shared" si="2"/>
        <v>0</v>
      </c>
      <c r="F31" s="138" t="e">
        <f t="shared" si="3"/>
        <v>#DIV/0!</v>
      </c>
      <c r="G31" s="138" t="e">
        <f>IF('Cheque Energie'!F31&lt;'Cheque Energie'!$B$7,IF('Cheque Energie'!B31=1,'Cheque Energie'!$B$8,IF('Cheque Energie'!B31&lt;2,'Cheque Energie'!$B$9,IF('Cheque Energie'!B31&gt;2,'Cheque Energie'!$B$10,0))),IF('Cheque Energie'!F31&lt;'Cheque Energie'!$C$7,IF('Cheque Energie'!B31=1,'Cheque Energie'!$C$8,IF('Cheque Energie'!B31&lt;2,'Cheque Energie'!$C$9,IF('Cheque Energie'!B31&gt;2,'Cheque Energie'!$C$10,0))),IF('Cheque Energie'!F31&lt;'Cheque Energie'!$D$7,IF('Cheque Energie'!B31=1,'Cheque Energie'!$D$8,IF('Cheque Energie'!B31&lt;2,'Cheque Energie'!$D$9,IF('Cheque Energie'!B31&gt;2,'Cheque Energie'!$D$10,0))),IF('Cheque Energie'!F31&lt;'Cheque Energie'!$E$7,IF('Cheque Energie'!B31=1,'Cheque Energie'!$E$8,IF('Cheque Energie'!B31&lt;2,'Cheque Energie'!$E$9,IF('Cheque Energie'!B31&gt;2,'Cheque Energie'!$E$10,0))),0))))</f>
        <v>#DIV/0!</v>
      </c>
    </row>
    <row r="32" spans="1:7" x14ac:dyDescent="0.3">
      <c r="A32" s="137" t="str">
        <f>'Saisie immeuble'!A19</f>
        <v>Logement 9</v>
      </c>
      <c r="B32" s="120">
        <f>IF(('Saisie immeuble'!I19+'Saisie immeuble'!J19)=1,1,IF('Saisie immeuble'!I19+'Saisie immeuble'!J19=2,1.5,IF(('Saisie immeuble'!I19+'Saisie immeuble'!J19)&gt;2,1.5+('Saisie immeuble'!I19+'Saisie immeuble'!J19-2)*0.3,0)))</f>
        <v>0</v>
      </c>
      <c r="C32" s="121">
        <f>IF('Saisie immeuble'!Q19=Ressources!$A$3,0,IF('Saisie immeuble'!Q19=Ressources!$A$4,0,IF('Saisie immeuble'!Q19=Ressources!$A$5,Ressources!$B$5,IF('Saisie immeuble'!Q19=Ressources!$A$6,Ressources!$B$6,IF('Saisie immeuble'!Q19=Ressources!$A$7,Ressources!$B$7,IF('Saisie immeuble'!Q19=Ressources!$A$8,Ressources!$B$8,IF('Saisie immeuble'!Q19=Ressources!$A$9,Ressources!$B$9,IF('Saisie immeuble'!Q19=Ressources!$A$10,Ressources!$B$10,IF('Saisie immeuble'!Q19=Ressources!$A$11,Ressources!$B$11,0)))))))))</f>
        <v>0</v>
      </c>
      <c r="D32" s="138">
        <f>IF('Saisie immeuble'!R19=Ressources!$A$3,0,IF('Saisie immeuble'!R19=Ressources!$A$4,0,IF('Saisie immeuble'!R19=Ressources!$A$5,Ressources!$B$5,IF('Saisie immeuble'!R19=Ressources!$A$6,Ressources!$B$6,IF('Saisie immeuble'!R19=Ressources!$A$7,Ressources!$B$7,IF('Saisie immeuble'!R19=Ressources!$A$8,Ressources!$B$8,IF('Saisie immeuble'!R19=Ressources!$A$9,Ressources!$B$9,IF('Saisie immeuble'!R19=Ressources!$A$10,Ressources!$B$10,IF('Saisie immeuble'!R19=Ressources!$A$11,Ressources!$B$11,0)))))))))</f>
        <v>0</v>
      </c>
      <c r="E32" s="138">
        <f t="shared" si="2"/>
        <v>0</v>
      </c>
      <c r="F32" s="138" t="e">
        <f t="shared" si="3"/>
        <v>#DIV/0!</v>
      </c>
      <c r="G32" s="138" t="e">
        <f>IF('Cheque Energie'!F32&lt;'Cheque Energie'!$B$7,IF('Cheque Energie'!B32=1,'Cheque Energie'!$B$8,IF('Cheque Energie'!B32&lt;2,'Cheque Energie'!$B$9,IF('Cheque Energie'!B32&gt;2,'Cheque Energie'!$B$10,0))),IF('Cheque Energie'!F32&lt;'Cheque Energie'!$C$7,IF('Cheque Energie'!B32=1,'Cheque Energie'!$C$8,IF('Cheque Energie'!B32&lt;2,'Cheque Energie'!$C$9,IF('Cheque Energie'!B32&gt;2,'Cheque Energie'!$C$10,0))),IF('Cheque Energie'!F32&lt;'Cheque Energie'!$D$7,IF('Cheque Energie'!B32=1,'Cheque Energie'!$D$8,IF('Cheque Energie'!B32&lt;2,'Cheque Energie'!$D$9,IF('Cheque Energie'!B32&gt;2,'Cheque Energie'!$D$10,0))),IF('Cheque Energie'!F32&lt;'Cheque Energie'!$E$7,IF('Cheque Energie'!B32=1,'Cheque Energie'!$E$8,IF('Cheque Energie'!B32&lt;2,'Cheque Energie'!$E$9,IF('Cheque Energie'!B32&gt;2,'Cheque Energie'!$E$10,0))),0))))</f>
        <v>#DIV/0!</v>
      </c>
    </row>
    <row r="33" spans="1:7" x14ac:dyDescent="0.3">
      <c r="A33" s="137" t="str">
        <f>'Saisie immeuble'!A20</f>
        <v>Logement 10</v>
      </c>
      <c r="B33" s="120">
        <f>IF(('Saisie immeuble'!I20+'Saisie immeuble'!J20)=1,1,IF('Saisie immeuble'!I20+'Saisie immeuble'!J20=2,1.5,IF(('Saisie immeuble'!I20+'Saisie immeuble'!J20)&gt;2,1.5+('Saisie immeuble'!I20+'Saisie immeuble'!J20-2)*0.3,0)))</f>
        <v>0</v>
      </c>
      <c r="C33" s="139">
        <f>IF('Saisie immeuble'!Q20=Ressources!$A$3,0,IF('Saisie immeuble'!Q20=Ressources!$A$4,0,IF('Saisie immeuble'!Q20=Ressources!$A$5,Ressources!$B$5,IF('Saisie immeuble'!Q20=Ressources!$A$6,Ressources!$B$6,IF('Saisie immeuble'!Q20=Ressources!$A$7,Ressources!$B$7,IF('Saisie immeuble'!Q20=Ressources!$A$8,Ressources!$B$8,IF('Saisie immeuble'!Q20=Ressources!$A$9,Ressources!$B$9,IF('Saisie immeuble'!Q20=Ressources!$A$10,Ressources!$B$10,IF('Saisie immeuble'!Q20=Ressources!$A$11,Ressources!$B$11,0)))))))))</f>
        <v>0</v>
      </c>
      <c r="D33" s="140">
        <f>IF('Saisie immeuble'!R20=Ressources!$A$3,0,IF('Saisie immeuble'!R20=Ressources!$A$4,0,IF('Saisie immeuble'!R20=Ressources!$A$5,Ressources!$B$5,IF('Saisie immeuble'!R20=Ressources!$A$6,Ressources!$B$6,IF('Saisie immeuble'!R20=Ressources!$A$7,Ressources!$B$7,IF('Saisie immeuble'!R20=Ressources!$A$8,Ressources!$B$8,IF('Saisie immeuble'!R20=Ressources!$A$9,Ressources!$B$9,IF('Saisie immeuble'!R20=Ressources!$A$10,Ressources!$B$10,IF('Saisie immeuble'!R20=Ressources!$A$11,Ressources!$B$11,0)))))))))</f>
        <v>0</v>
      </c>
      <c r="E33" s="140">
        <f t="shared" si="2"/>
        <v>0</v>
      </c>
      <c r="F33" s="140" t="e">
        <f t="shared" si="3"/>
        <v>#DIV/0!</v>
      </c>
      <c r="G33" s="140" t="e">
        <f>IF('Cheque Energie'!F33&lt;'Cheque Energie'!$B$7,IF('Cheque Energie'!B33=1,'Cheque Energie'!$B$8,IF('Cheque Energie'!B33&lt;2,'Cheque Energie'!$B$9,IF('Cheque Energie'!B33&gt;2,'Cheque Energie'!$B$10,0))),IF('Cheque Energie'!F33&lt;'Cheque Energie'!$C$7,IF('Cheque Energie'!B33=1,'Cheque Energie'!$C$8,IF('Cheque Energie'!B33&lt;2,'Cheque Energie'!$C$9,IF('Cheque Energie'!B33&gt;2,'Cheque Energie'!$C$10,0))),IF('Cheque Energie'!F33&lt;'Cheque Energie'!$D$7,IF('Cheque Energie'!B33=1,'Cheque Energie'!$D$8,IF('Cheque Energie'!B33&lt;2,'Cheque Energie'!$D$9,IF('Cheque Energie'!B33&gt;2,'Cheque Energie'!$D$10,0))),IF('Cheque Energie'!F33&lt;'Cheque Energie'!$E$7,IF('Cheque Energie'!B33=1,'Cheque Energie'!$E$8,IF('Cheque Energie'!B33&lt;2,'Cheque Energie'!$E$9,IF('Cheque Energie'!B33&gt;2,'Cheque Energie'!$E$10,0))),0))))</f>
        <v>#DIV/0!</v>
      </c>
    </row>
  </sheetData>
  <mergeCells count="1">
    <mergeCell ref="B6:E6"/>
  </mergeCells>
  <hyperlinks>
    <hyperlink ref="A3"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H9" sqref="H9"/>
    </sheetView>
  </sheetViews>
  <sheetFormatPr baseColWidth="10" defaultRowHeight="14.4" x14ac:dyDescent="0.3"/>
  <cols>
    <col min="1" max="1" width="18.5546875" customWidth="1"/>
  </cols>
  <sheetData>
    <row r="1" spans="1:10" x14ac:dyDescent="0.3">
      <c r="A1" s="15" t="s">
        <v>339</v>
      </c>
      <c r="B1" s="15" t="s">
        <v>399</v>
      </c>
      <c r="C1" s="5"/>
      <c r="D1" s="5"/>
      <c r="E1" s="5" t="s">
        <v>336</v>
      </c>
      <c r="F1" s="5"/>
      <c r="G1" s="5"/>
      <c r="H1" s="135" t="s">
        <v>398</v>
      </c>
      <c r="I1" s="5"/>
      <c r="J1" s="5"/>
    </row>
    <row r="2" spans="1:10" x14ac:dyDescent="0.3">
      <c r="A2" s="5"/>
      <c r="B2" s="5" t="s">
        <v>337</v>
      </c>
      <c r="C2" s="5" t="s">
        <v>338</v>
      </c>
      <c r="D2" s="5"/>
      <c r="E2" s="8" t="s">
        <v>343</v>
      </c>
      <c r="F2" s="8">
        <v>0</v>
      </c>
      <c r="G2" s="8">
        <v>1</v>
      </c>
      <c r="H2" s="8">
        <v>2</v>
      </c>
      <c r="I2" s="8">
        <v>3</v>
      </c>
      <c r="J2" s="8" t="s">
        <v>344</v>
      </c>
    </row>
    <row r="3" spans="1:10" x14ac:dyDescent="0.3">
      <c r="A3" s="5" t="s">
        <v>384</v>
      </c>
      <c r="B3" s="117">
        <v>0</v>
      </c>
      <c r="C3" s="117"/>
      <c r="D3" s="5"/>
      <c r="E3" s="8" t="s">
        <v>341</v>
      </c>
      <c r="F3" s="8">
        <v>559.74</v>
      </c>
      <c r="G3" s="8">
        <v>839.62</v>
      </c>
      <c r="H3" s="8">
        <v>1007.55</v>
      </c>
      <c r="I3" s="8">
        <v>1231.44</v>
      </c>
      <c r="J3" s="8">
        <v>223.89</v>
      </c>
    </row>
    <row r="4" spans="1:10" x14ac:dyDescent="0.3">
      <c r="A4" s="5" t="s">
        <v>336</v>
      </c>
      <c r="B4" s="127">
        <f>IF(AND('Saisie maison'!Q13&lt;&gt;"RSA socle",'Saisie maison'!P13="RSA socle"),IF(('Saisie maison'!H13+'Saisie maison'!I13)&gt;4,Ressources!I3+Ressources!J3*(('Saisie maison'!H13+'Saisie maison'!I13)-4),IF(('Saisie maison'!H13+'Saisie maison'!I13)=1,Ressources!F3,IF(('Saisie maison'!H13+'Saisie maison'!I13)=2,Ressources!G3,IF(('Saisie maison'!H13+'Saisie maison'!I13)=3,Ressources!H3,IF(('Saisie maison'!H13+'Saisie maison'!I13)=4,Ressources!I3,0))))),0)</f>
        <v>0</v>
      </c>
      <c r="C4" s="127" t="b">
        <f>IF(AND('Saisie maison'!Q13="RSA socle",'Saisie maison'!P13="RSA socle"),IF(('Saisie maison'!H13+'Saisie maison'!I13)&gt;5,Ressources!I4+Ressources!J4*(('Saisie maison'!H13+'Saisie maison'!I13)-5),IF(('Saisie maison'!H13+'Saisie maison'!I13)=2,Ressources!F4,IF(('Saisie maison'!H13+'Saisie maison'!I13)=3,Ressources!G4,IF(('Saisie maison'!H13+'Saisie maison'!I13)=4,Ressources!H4,IF(('Saisie maison'!H13+'Saisie maison'!I13)=5,Ressources!I4,0))))), IF(AND('Saisie maison'!Q13="RSA socle",'Saisie maison'!P13&lt;&gt;"RSA socle"),IF(('Saisie maison'!H13+'Saisie maison'!I13)&gt;4,Ressources!I3+Ressources!J3*(('Saisie maison'!H13+'Saisie maison'!I13)-4),IF(('Saisie maison'!H13+'Saisie maison'!I13)=1,Ressources!F3,IF(('Saisie maison'!H13+'Saisie maison'!I13)=2,Ressources!G3,IF(('Saisie maison'!H13+'Saisie maison'!I13)=3,Ressources!H3,IF(('Saisie maison'!H13+'Saisie maison'!I13)=4,Ressources!I3,0)))))))</f>
        <v>0</v>
      </c>
      <c r="D4" s="5"/>
      <c r="E4" s="8" t="s">
        <v>342</v>
      </c>
      <c r="F4" s="8">
        <v>839.62</v>
      </c>
      <c r="G4" s="8">
        <v>1007.55</v>
      </c>
      <c r="H4" s="8">
        <v>1175.47</v>
      </c>
      <c r="I4" s="8">
        <v>1399.36</v>
      </c>
      <c r="J4" s="8">
        <v>223.89</v>
      </c>
    </row>
    <row r="5" spans="1:10" x14ac:dyDescent="0.3">
      <c r="A5" s="5" t="s">
        <v>380</v>
      </c>
      <c r="B5" s="127">
        <f>IF('Saisie maison'!H13+'Saisie maison'!I13=1,Ressources!$F$8,IF('Saisie maison'!H13+'Saisie maison'!I13=2,Ressources!$G$8,IF('Saisie maison'!H13+'Saisie maison'!I13=3,Ressources!$H$8,IF('Saisie maison'!H13+'Saisie maison'!I13&gt;3,$H$8+('Saisie maison'!H13+'Saisie maison'!I13-3)*Ressources!$I$8,0))))</f>
        <v>0</v>
      </c>
      <c r="C5" s="127" t="s">
        <v>383</v>
      </c>
      <c r="D5" s="5"/>
      <c r="E5" s="5"/>
      <c r="F5" s="5"/>
      <c r="G5" s="5"/>
      <c r="H5" s="5"/>
      <c r="I5" s="5"/>
      <c r="J5" s="5"/>
    </row>
    <row r="6" spans="1:10" x14ac:dyDescent="0.3">
      <c r="A6" s="5" t="s">
        <v>345</v>
      </c>
      <c r="B6" s="117">
        <f>F20</f>
        <v>902.7</v>
      </c>
      <c r="C6" s="117"/>
      <c r="D6" s="5"/>
      <c r="E6" s="5" t="s">
        <v>380</v>
      </c>
      <c r="F6" s="5"/>
      <c r="G6" s="5"/>
      <c r="H6" s="5"/>
      <c r="I6" s="5"/>
      <c r="J6" s="5"/>
    </row>
    <row r="7" spans="1:10" x14ac:dyDescent="0.3">
      <c r="A7" s="126" t="s">
        <v>377</v>
      </c>
      <c r="B7" s="117">
        <f>F16</f>
        <v>903.2</v>
      </c>
      <c r="C7" s="117"/>
      <c r="D7" s="5"/>
      <c r="E7" s="8" t="s">
        <v>343</v>
      </c>
      <c r="F7" s="8">
        <v>0</v>
      </c>
      <c r="G7" s="8">
        <v>1</v>
      </c>
      <c r="H7" s="8">
        <v>2</v>
      </c>
      <c r="I7" s="8" t="s">
        <v>382</v>
      </c>
      <c r="J7" s="5"/>
    </row>
    <row r="8" spans="1:10" ht="28.8" x14ac:dyDescent="0.3">
      <c r="A8" s="126" t="s">
        <v>376</v>
      </c>
      <c r="B8" s="117">
        <v>1227.3900000000001</v>
      </c>
      <c r="C8" s="117"/>
      <c r="D8" s="5"/>
      <c r="E8" s="8" t="s">
        <v>381</v>
      </c>
      <c r="F8" s="8">
        <v>718.78</v>
      </c>
      <c r="G8" s="8">
        <v>958.37</v>
      </c>
      <c r="H8" s="8">
        <v>1197.97</v>
      </c>
      <c r="I8" s="8">
        <v>239.59</v>
      </c>
      <c r="J8" s="5"/>
    </row>
    <row r="9" spans="1:10" ht="28.8" x14ac:dyDescent="0.3">
      <c r="A9" s="126" t="s">
        <v>373</v>
      </c>
      <c r="B9" s="117">
        <v>300</v>
      </c>
      <c r="C9" s="117"/>
      <c r="D9" s="5"/>
      <c r="E9" s="5"/>
      <c r="F9" s="5"/>
      <c r="G9" s="5"/>
      <c r="H9" s="5"/>
      <c r="I9" s="5"/>
      <c r="J9" s="5"/>
    </row>
    <row r="10" spans="1:10" ht="28.8" x14ac:dyDescent="0.3">
      <c r="A10" s="126" t="s">
        <v>374</v>
      </c>
      <c r="B10" s="117">
        <v>650</v>
      </c>
      <c r="C10" s="117"/>
      <c r="D10" s="5"/>
      <c r="E10" s="5" t="s">
        <v>346</v>
      </c>
      <c r="F10" s="5"/>
      <c r="G10" s="5"/>
      <c r="H10" s="5" t="s">
        <v>367</v>
      </c>
      <c r="I10" s="5"/>
      <c r="J10" s="5"/>
    </row>
    <row r="11" spans="1:10" ht="28.8" x14ac:dyDescent="0.3">
      <c r="A11" s="126" t="s">
        <v>375</v>
      </c>
      <c r="B11" s="117">
        <v>900</v>
      </c>
      <c r="C11" s="117"/>
      <c r="D11" s="5"/>
      <c r="E11" s="8" t="s">
        <v>343</v>
      </c>
      <c r="F11" s="8">
        <v>2</v>
      </c>
      <c r="G11" s="8">
        <v>3</v>
      </c>
      <c r="H11" s="8">
        <v>4</v>
      </c>
      <c r="I11" s="8" t="s">
        <v>349</v>
      </c>
      <c r="J11" s="135" t="s">
        <v>400</v>
      </c>
    </row>
    <row r="12" spans="1:10" x14ac:dyDescent="0.3">
      <c r="A12" s="15"/>
      <c r="B12" s="15"/>
      <c r="C12" s="5"/>
      <c r="D12" s="5"/>
      <c r="E12" s="8" t="s">
        <v>347</v>
      </c>
      <c r="F12" s="8">
        <v>131.55000000000001</v>
      </c>
      <c r="G12" s="8">
        <v>300.10000000000002</v>
      </c>
      <c r="H12" s="8">
        <v>468.66</v>
      </c>
      <c r="I12" s="8">
        <v>168.56</v>
      </c>
      <c r="J12" s="5"/>
    </row>
    <row r="13" spans="1:10" x14ac:dyDescent="0.3">
      <c r="A13" s="15"/>
      <c r="B13" s="15"/>
      <c r="C13" s="5"/>
      <c r="D13" s="5"/>
      <c r="E13" s="8" t="s">
        <v>348</v>
      </c>
      <c r="F13" s="8">
        <v>65.78</v>
      </c>
      <c r="G13" s="8">
        <v>65.78</v>
      </c>
      <c r="H13" s="8">
        <v>65.78</v>
      </c>
      <c r="I13" s="8">
        <v>65.78</v>
      </c>
      <c r="J13" s="5"/>
    </row>
    <row r="14" spans="1:10" x14ac:dyDescent="0.3">
      <c r="A14" s="15"/>
      <c r="B14" s="15"/>
      <c r="C14" s="5"/>
      <c r="D14" s="5"/>
      <c r="E14" s="5"/>
      <c r="F14" s="5"/>
      <c r="G14" s="5"/>
      <c r="H14" s="5"/>
      <c r="I14" s="5"/>
      <c r="J14" s="5"/>
    </row>
    <row r="15" spans="1:10" x14ac:dyDescent="0.3">
      <c r="A15" s="15"/>
      <c r="B15" s="15"/>
      <c r="C15" s="5"/>
      <c r="D15" s="5"/>
      <c r="E15" s="5" t="s">
        <v>377</v>
      </c>
      <c r="F15" s="5"/>
      <c r="G15" s="5"/>
      <c r="H15" s="5"/>
      <c r="I15" s="5"/>
      <c r="J15" s="5"/>
    </row>
    <row r="16" spans="1:10" x14ac:dyDescent="0.3">
      <c r="A16" s="15"/>
      <c r="B16" s="15"/>
      <c r="C16" s="5"/>
      <c r="D16" s="5"/>
      <c r="E16" s="8" t="s">
        <v>378</v>
      </c>
      <c r="F16" s="8">
        <v>903.2</v>
      </c>
      <c r="G16" s="135" t="s">
        <v>401</v>
      </c>
      <c r="H16" s="5"/>
      <c r="I16" s="5"/>
      <c r="J16" s="5"/>
    </row>
    <row r="17" spans="1:10" x14ac:dyDescent="0.3">
      <c r="A17" s="15"/>
      <c r="B17" s="15"/>
      <c r="C17" s="5"/>
      <c r="D17" s="5"/>
      <c r="E17" s="8" t="s">
        <v>379</v>
      </c>
      <c r="F17" s="8">
        <v>1402.22</v>
      </c>
      <c r="G17" s="5"/>
      <c r="H17" s="5"/>
      <c r="I17" s="5"/>
      <c r="J17" s="5"/>
    </row>
    <row r="19" spans="1:10" x14ac:dyDescent="0.3">
      <c r="E19" s="101" t="s">
        <v>436</v>
      </c>
      <c r="G19" s="196" t="s">
        <v>435</v>
      </c>
    </row>
    <row r="20" spans="1:10" x14ac:dyDescent="0.3">
      <c r="E20" s="8" t="s">
        <v>378</v>
      </c>
      <c r="F20" s="8">
        <v>902.7</v>
      </c>
    </row>
  </sheetData>
  <hyperlinks>
    <hyperlink ref="H1" r:id="rId1"/>
    <hyperlink ref="G16" r:id="rId2"/>
    <hyperlink ref="J11" r:id="rId3"/>
    <hyperlink ref="G19"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19</vt:i4>
      </vt:variant>
    </vt:vector>
  </HeadingPairs>
  <TitlesOfParts>
    <vt:vector size="30" baseType="lpstr">
      <vt:lpstr>Accueil</vt:lpstr>
      <vt:lpstr>Saisie maison</vt:lpstr>
      <vt:lpstr>Résultat maison</vt:lpstr>
      <vt:lpstr>élts calculs lgt ind</vt:lpstr>
      <vt:lpstr>Saisie immeuble</vt:lpstr>
      <vt:lpstr>Résultat immeuble</vt:lpstr>
      <vt:lpstr>Feuil1</vt:lpstr>
      <vt:lpstr>Cheque Energie</vt:lpstr>
      <vt:lpstr>Ressources</vt:lpstr>
      <vt:lpstr>Référence&amp;tarifs</vt:lpstr>
      <vt:lpstr>FAQ Excel</vt:lpstr>
      <vt:lpstr>annee</vt:lpstr>
      <vt:lpstr>cuisson</vt:lpstr>
      <vt:lpstr>cuisson2</vt:lpstr>
      <vt:lpstr>mitoyennete</vt:lpstr>
      <vt:lpstr>naturerevenu</vt:lpstr>
      <vt:lpstr>oui</vt:lpstr>
      <vt:lpstr>position</vt:lpstr>
      <vt:lpstr>typechauffage</vt:lpstr>
      <vt:lpstr>typedelogement</vt:lpstr>
      <vt:lpstr>typeecs</vt:lpstr>
      <vt:lpstr>typeiso</vt:lpstr>
      <vt:lpstr>typereno</vt:lpstr>
      <vt:lpstr>ventilation</vt:lpstr>
      <vt:lpstr>VILLE</vt:lpstr>
      <vt:lpstr>Accueil!Zone_d_impression</vt:lpstr>
      <vt:lpstr>'Résultat immeuble'!Zone_d_impression</vt:lpstr>
      <vt:lpstr>'Résultat maison'!Zone_d_impression</vt:lpstr>
      <vt:lpstr>'Saisie immeuble'!Zone_d_impression</vt:lpstr>
      <vt:lpstr>'Saisie maison'!Zone_d_impression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GARNIER</dc:creator>
  <cp:lastModifiedBy>Claire</cp:lastModifiedBy>
  <cp:lastPrinted>2020-01-30T08:15:02Z</cp:lastPrinted>
  <dcterms:created xsi:type="dcterms:W3CDTF">2012-09-17T11:38:36Z</dcterms:created>
  <dcterms:modified xsi:type="dcterms:W3CDTF">2020-07-30T13:56:42Z</dcterms:modified>
</cp:coreProperties>
</file>